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80" windowWidth="12165" windowHeight="3915" tabRatio="938"/>
  </bookViews>
  <sheets>
    <sheet name="Instructions" sheetId="16" r:id="rId1"/>
    <sheet name="GettingStarted" sheetId="12" r:id="rId2"/>
    <sheet name="Dashboard" sheetId="1" r:id="rId3"/>
    <sheet name="PropertyTaxes" sheetId="2" r:id="rId4"/>
    <sheet name="SalesTaxes" sheetId="3" r:id="rId5"/>
    <sheet name="DrinkingWater" sheetId="4" r:id="rId6"/>
    <sheet name="Wastewater" sheetId="15" r:id="rId7"/>
    <sheet name="WaterQualityFees" sheetId="5" r:id="rId8"/>
    <sheet name="FloodZoneFees" sheetId="8" r:id="rId9"/>
    <sheet name="PermitFees" sheetId="6" r:id="rId10"/>
    <sheet name="Grants" sheetId="7" r:id="rId11"/>
    <sheet name="Other" sheetId="9" r:id="rId12"/>
    <sheet name="Admin" sheetId="10" state="hidden" r:id="rId13"/>
    <sheet name="Debt Service" sheetId="17" state="hidden" r:id="rId14"/>
  </sheets>
  <definedNames>
    <definedName name="Dashboard_Linkedcell">Dashboard!$C$2</definedName>
    <definedName name="DrinkingWaterTotal">DrinkingWater!$C$1</definedName>
    <definedName name="DW__LinkCell">DrinkingWater!$A$7</definedName>
    <definedName name="Entity">GettingStarted!$C$8:$C$17</definedName>
    <definedName name="entity1">GettingStarted!$C$8</definedName>
    <definedName name="entity10">GettingStarted!$C$17</definedName>
    <definedName name="entity2">GettingStarted!$C$9</definedName>
    <definedName name="entity3">GettingStarted!$C$10</definedName>
    <definedName name="entity4">GettingStarted!$C$11</definedName>
    <definedName name="entity5">GettingStarted!$C$12</definedName>
    <definedName name="entity6">GettingStarted!$C$13</definedName>
    <definedName name="entity7">GettingStarted!$C$14</definedName>
    <definedName name="entity8">GettingStarted!$C$15</definedName>
    <definedName name="entity9">GettingStarted!$C$16</definedName>
    <definedName name="EntityRange">INDIRECT(Admin!$A$37)</definedName>
    <definedName name="FedFundsAsMatch">Admin!$A$6:$A$7</definedName>
    <definedName name="FloodFeeTotal">FloodZoneFees!$C$1</definedName>
    <definedName name="FZF_LinkCell">FloodZoneFees!$A$7</definedName>
    <definedName name="G_LinkCell">Grants!$A$3</definedName>
    <definedName name="GettingStarted_linkcell">GettingStarted!$D$2</definedName>
    <definedName name="GrantMatchNeeded">Grants!$C$2</definedName>
    <definedName name="GrantsAvailableForMatch">Grants!$C$26</definedName>
    <definedName name="GrantsTotal">Grants!$C$1</definedName>
    <definedName name="HowMuchDoINeed">Dashboard!$C$6</definedName>
    <definedName name="O_LinkCell">Other!$A$7</definedName>
    <definedName name="OtherTotal">Other!$C$1</definedName>
    <definedName name="OwnedOnDebtInFirstYear">'Debt Service'!$B$19</definedName>
    <definedName name="PercentToGoalDenometer">Dashboard!$E$12</definedName>
    <definedName name="PermitFeesTotal">PermitFees!$C$1</definedName>
    <definedName name="PF_LinkCell">PermitFees!$A$7</definedName>
    <definedName name="PropertyTaxesTotal">PropertyTaxes!$C$1</definedName>
    <definedName name="PT_E1_sum">PropertyTaxes!$C$2</definedName>
    <definedName name="PT_LinkCell">PropertyTaxes!$A$7</definedName>
    <definedName name="SalesTaxesTotal">SalesTaxes!$C$1</definedName>
    <definedName name="ST_E1_sum">SalesTaxes!$C$2</definedName>
    <definedName name="ST_LinkCell">SalesTaxes!$A$7</definedName>
    <definedName name="TotalEntites">GettingStarted!$I$2</definedName>
    <definedName name="TotalEntities">GettingStarted!$I$2</definedName>
    <definedName name="WastewaterTotal">Wastewater!$C$1</definedName>
    <definedName name="WaterQualityFeesTotal">WaterQualityFees!$C$1</definedName>
    <definedName name="WaterWastewaterTotal" localSheetId="6">Wastewater!$C$1</definedName>
    <definedName name="WaterWastewaterTotal">DrinkingWater!$C$1</definedName>
    <definedName name="WQF_LinkCell">WaterQualityFees!$A$7</definedName>
    <definedName name="WW_LinkCell">Wastewater!$A$7</definedName>
  </definedNames>
  <calcPr calcId="145621"/>
</workbook>
</file>

<file path=xl/calcChain.xml><?xml version="1.0" encoding="utf-8"?>
<calcChain xmlns="http://schemas.openxmlformats.org/spreadsheetml/2006/main">
  <c r="J33" i="10" l="1"/>
  <c r="I33" i="10"/>
  <c r="H33" i="10"/>
  <c r="G33" i="10"/>
  <c r="F33" i="10"/>
  <c r="E33" i="10"/>
  <c r="D33" i="10"/>
  <c r="C33" i="10"/>
  <c r="B33" i="10"/>
  <c r="A1" i="1" l="1"/>
  <c r="A1" i="12"/>
  <c r="B38" i="7" l="1"/>
  <c r="B37" i="7"/>
  <c r="B36" i="7"/>
  <c r="B35" i="7"/>
  <c r="B34" i="7"/>
  <c r="B33" i="7"/>
  <c r="B32" i="7"/>
  <c r="B31" i="7"/>
  <c r="B30" i="7"/>
  <c r="B29" i="7"/>
  <c r="A38" i="7"/>
  <c r="A37" i="7"/>
  <c r="A36" i="7"/>
  <c r="A35" i="7"/>
  <c r="A34" i="7"/>
  <c r="A33" i="7"/>
  <c r="A32" i="7"/>
  <c r="A31" i="7"/>
  <c r="A30" i="7"/>
  <c r="A29" i="7"/>
  <c r="E8" i="1" l="1"/>
  <c r="C7" i="1" l="1"/>
  <c r="B3" i="17"/>
  <c r="C10" i="17" s="1"/>
  <c r="B4" i="17"/>
  <c r="B5" i="17"/>
  <c r="C15" i="17" s="1"/>
  <c r="D15" i="17" s="1"/>
  <c r="E15" i="17" s="1"/>
  <c r="F15" i="17" s="1"/>
  <c r="G15" i="17" s="1"/>
  <c r="H15" i="17" s="1"/>
  <c r="I15" i="17" s="1"/>
  <c r="J15" i="17" s="1"/>
  <c r="K15" i="17" s="1"/>
  <c r="L15" i="17" s="1"/>
  <c r="F3" i="2"/>
  <c r="F8" i="2" s="1"/>
  <c r="C3" i="2"/>
  <c r="C8" i="2" s="1"/>
  <c r="D3" i="2"/>
  <c r="D8" i="2" s="1"/>
  <c r="E3" i="2"/>
  <c r="E8" i="2" s="1"/>
  <c r="G3" i="2"/>
  <c r="G8" i="2" s="1"/>
  <c r="H3" i="2"/>
  <c r="H8" i="2" s="1"/>
  <c r="I3" i="2"/>
  <c r="J3" i="2"/>
  <c r="K3" i="2"/>
  <c r="K5" i="2" s="1"/>
  <c r="K2" i="2" s="1"/>
  <c r="L3" i="2"/>
  <c r="L5" i="2" s="1"/>
  <c r="L2" i="2" s="1"/>
  <c r="F3" i="3"/>
  <c r="F8" i="3" s="1"/>
  <c r="C3" i="3"/>
  <c r="D3" i="3"/>
  <c r="D8" i="3" s="1"/>
  <c r="E3" i="3"/>
  <c r="E8" i="3" s="1"/>
  <c r="G3" i="3"/>
  <c r="H3" i="3"/>
  <c r="I3" i="3"/>
  <c r="I8" i="3" s="1"/>
  <c r="J3" i="3"/>
  <c r="J8" i="3" s="1"/>
  <c r="K3" i="3"/>
  <c r="K8" i="3" s="1"/>
  <c r="L3" i="3"/>
  <c r="F3" i="5"/>
  <c r="F8" i="5" s="1"/>
  <c r="C3" i="5"/>
  <c r="D3" i="5"/>
  <c r="D8" i="5" s="1"/>
  <c r="E3" i="5"/>
  <c r="G3" i="5"/>
  <c r="H3" i="5"/>
  <c r="H8" i="5" s="1"/>
  <c r="I3" i="5"/>
  <c r="J3" i="5"/>
  <c r="K3" i="5"/>
  <c r="L3" i="5"/>
  <c r="L8" i="5" s="1"/>
  <c r="F3" i="6"/>
  <c r="F8" i="6" s="1"/>
  <c r="C3" i="6"/>
  <c r="C8" i="6" s="1"/>
  <c r="D3" i="6"/>
  <c r="D8" i="6" s="1"/>
  <c r="E3" i="6"/>
  <c r="G3" i="6"/>
  <c r="G8" i="6" s="1"/>
  <c r="H3" i="6"/>
  <c r="H8" i="6" s="1"/>
  <c r="I3" i="6"/>
  <c r="J3" i="6"/>
  <c r="K3" i="6"/>
  <c r="K8" i="6" s="1"/>
  <c r="L3" i="6"/>
  <c r="L8" i="6" s="1"/>
  <c r="F4" i="9"/>
  <c r="F3" i="9"/>
  <c r="F8" i="9" s="1"/>
  <c r="C3" i="9"/>
  <c r="C8" i="9" s="1"/>
  <c r="D3" i="9"/>
  <c r="D8" i="9" s="1"/>
  <c r="E3" i="9"/>
  <c r="E8" i="9" s="1"/>
  <c r="G3" i="9"/>
  <c r="H3" i="9"/>
  <c r="H8" i="9" s="1"/>
  <c r="H4" i="9"/>
  <c r="I3" i="9"/>
  <c r="J3" i="9"/>
  <c r="J8" i="9" s="1"/>
  <c r="K3" i="9"/>
  <c r="L3" i="9"/>
  <c r="F48" i="1"/>
  <c r="B27" i="10"/>
  <c r="E4" i="2" s="1"/>
  <c r="L4" i="2"/>
  <c r="C27" i="10"/>
  <c r="E4" i="3" s="1"/>
  <c r="L4" i="3"/>
  <c r="F27" i="10"/>
  <c r="E4" i="5" s="1"/>
  <c r="L4" i="5"/>
  <c r="G27" i="10"/>
  <c r="E4" i="6" s="1"/>
  <c r="L4" i="6"/>
  <c r="F39" i="1"/>
  <c r="F40" i="1"/>
  <c r="F41" i="1"/>
  <c r="F42" i="1"/>
  <c r="F43" i="1"/>
  <c r="F44" i="1"/>
  <c r="F45" i="1"/>
  <c r="I4" i="2"/>
  <c r="I4" i="3"/>
  <c r="I4" i="5"/>
  <c r="I4" i="6"/>
  <c r="F46" i="1"/>
  <c r="J4" i="2"/>
  <c r="J4" i="3"/>
  <c r="J4" i="5"/>
  <c r="J4" i="6"/>
  <c r="F47" i="1"/>
  <c r="K4" i="2"/>
  <c r="K4" i="3"/>
  <c r="K4" i="5"/>
  <c r="K4" i="6"/>
  <c r="D2" i="8"/>
  <c r="B39" i="1"/>
  <c r="B48" i="1"/>
  <c r="B47" i="1"/>
  <c r="B46" i="1"/>
  <c r="B45" i="1"/>
  <c r="B44" i="1"/>
  <c r="B43" i="1"/>
  <c r="B42" i="1"/>
  <c r="B41" i="1"/>
  <c r="B40" i="1"/>
  <c r="J27" i="10"/>
  <c r="D4" i="9" s="1"/>
  <c r="I4" i="9"/>
  <c r="J4" i="9"/>
  <c r="K4" i="9"/>
  <c r="L4" i="9"/>
  <c r="C2" i="8"/>
  <c r="G6" i="7"/>
  <c r="C17" i="4"/>
  <c r="D17" i="4"/>
  <c r="E17" i="4"/>
  <c r="F17" i="4"/>
  <c r="G17" i="4"/>
  <c r="H17" i="4"/>
  <c r="I17" i="4"/>
  <c r="J17" i="4"/>
  <c r="K17" i="4"/>
  <c r="L17" i="4"/>
  <c r="L9" i="6"/>
  <c r="K9" i="6"/>
  <c r="L9" i="8"/>
  <c r="K9" i="8"/>
  <c r="L9" i="5"/>
  <c r="K9" i="5"/>
  <c r="L9" i="15"/>
  <c r="K9" i="15"/>
  <c r="L9" i="4"/>
  <c r="K9" i="4"/>
  <c r="L2" i="8"/>
  <c r="K2" i="8"/>
  <c r="J2" i="8"/>
  <c r="I2" i="8"/>
  <c r="H2" i="8"/>
  <c r="F2" i="8"/>
  <c r="E2" i="8"/>
  <c r="C26" i="7"/>
  <c r="L33" i="8"/>
  <c r="K33" i="8"/>
  <c r="J33" i="8"/>
  <c r="I33" i="8"/>
  <c r="H33" i="8"/>
  <c r="G33" i="8"/>
  <c r="F33" i="8"/>
  <c r="E33" i="8"/>
  <c r="D33" i="8"/>
  <c r="L32" i="8"/>
  <c r="K32" i="8"/>
  <c r="J32" i="8"/>
  <c r="I32" i="8"/>
  <c r="H32" i="8"/>
  <c r="G32" i="8"/>
  <c r="F32" i="8"/>
  <c r="E32" i="8"/>
  <c r="D32" i="8"/>
  <c r="L31" i="8"/>
  <c r="K31" i="8"/>
  <c r="J31" i="8"/>
  <c r="I31" i="8"/>
  <c r="H31" i="8"/>
  <c r="G31" i="8"/>
  <c r="F31" i="8"/>
  <c r="E31" i="8"/>
  <c r="D31" i="8"/>
  <c r="L30" i="8"/>
  <c r="K30" i="8"/>
  <c r="J30" i="8"/>
  <c r="I30" i="8"/>
  <c r="H30" i="8"/>
  <c r="G30" i="8"/>
  <c r="F30" i="8"/>
  <c r="E30" i="8"/>
  <c r="D30" i="8"/>
  <c r="C33" i="8"/>
  <c r="C32" i="8"/>
  <c r="C31" i="8"/>
  <c r="C30" i="8"/>
  <c r="B26" i="1"/>
  <c r="B25" i="1"/>
  <c r="B24" i="1"/>
  <c r="B23" i="1"/>
  <c r="B22" i="1"/>
  <c r="B21" i="1"/>
  <c r="B20" i="1"/>
  <c r="B19" i="1"/>
  <c r="B18" i="1"/>
  <c r="K9" i="9"/>
  <c r="L9" i="9"/>
  <c r="J9" i="9"/>
  <c r="I9" i="9"/>
  <c r="H9" i="9"/>
  <c r="G9" i="9"/>
  <c r="F9" i="9"/>
  <c r="E9" i="9"/>
  <c r="D9" i="9"/>
  <c r="C9" i="9"/>
  <c r="J9" i="8"/>
  <c r="I9" i="8"/>
  <c r="H9" i="8"/>
  <c r="G9" i="8"/>
  <c r="F9" i="8"/>
  <c r="E9" i="8"/>
  <c r="D9" i="8"/>
  <c r="C9" i="8"/>
  <c r="C9" i="6"/>
  <c r="J9" i="6"/>
  <c r="I9" i="6"/>
  <c r="H9" i="6"/>
  <c r="G9" i="6"/>
  <c r="F9" i="6"/>
  <c r="E9" i="6"/>
  <c r="D9" i="6"/>
  <c r="J9" i="5"/>
  <c r="I9" i="5"/>
  <c r="H9" i="5"/>
  <c r="G9" i="5"/>
  <c r="F9" i="5"/>
  <c r="E9" i="5"/>
  <c r="D9" i="5"/>
  <c r="C9" i="5"/>
  <c r="C9" i="15"/>
  <c r="C9" i="4"/>
  <c r="J9" i="15"/>
  <c r="I9" i="15"/>
  <c r="H9" i="15"/>
  <c r="G9" i="15"/>
  <c r="F9" i="15"/>
  <c r="E9" i="15"/>
  <c r="D9" i="15"/>
  <c r="J9" i="4"/>
  <c r="I9" i="4"/>
  <c r="H9" i="4"/>
  <c r="G9" i="4"/>
  <c r="F9" i="4"/>
  <c r="E9" i="4"/>
  <c r="D9" i="4"/>
  <c r="L9" i="3"/>
  <c r="K9" i="3"/>
  <c r="J9" i="3"/>
  <c r="I9" i="3"/>
  <c r="H9" i="3"/>
  <c r="G9" i="3"/>
  <c r="F9" i="3"/>
  <c r="E9" i="3"/>
  <c r="D9" i="3"/>
  <c r="C9" i="3"/>
  <c r="L9" i="2"/>
  <c r="K9" i="2"/>
  <c r="J9" i="2"/>
  <c r="I9" i="2"/>
  <c r="H9" i="2"/>
  <c r="G9" i="2"/>
  <c r="F9" i="2"/>
  <c r="E9" i="2"/>
  <c r="D9" i="2"/>
  <c r="C9" i="2"/>
  <c r="F31" i="10"/>
  <c r="D27" i="10"/>
  <c r="E4" i="4" s="1"/>
  <c r="L4" i="4"/>
  <c r="K4" i="4"/>
  <c r="J4" i="4"/>
  <c r="I4" i="4"/>
  <c r="E27" i="10"/>
  <c r="D4" i="15" s="1"/>
  <c r="L4" i="15"/>
  <c r="K4" i="15"/>
  <c r="J4" i="15"/>
  <c r="I4" i="15"/>
  <c r="L3" i="15"/>
  <c r="L8" i="15" s="1"/>
  <c r="K3" i="15"/>
  <c r="J3" i="15"/>
  <c r="J5" i="15" s="1"/>
  <c r="I3" i="15"/>
  <c r="H3" i="15"/>
  <c r="G3" i="15"/>
  <c r="G8" i="15" s="1"/>
  <c r="F3" i="15"/>
  <c r="E3" i="15"/>
  <c r="D3" i="15"/>
  <c r="D8" i="15" s="1"/>
  <c r="C3" i="15"/>
  <c r="C8" i="15" s="1"/>
  <c r="L3" i="8"/>
  <c r="L8" i="8" s="1"/>
  <c r="K3" i="8"/>
  <c r="J3" i="8"/>
  <c r="J8" i="8" s="1"/>
  <c r="I3" i="8"/>
  <c r="H3" i="8"/>
  <c r="H8" i="8" s="1"/>
  <c r="G3" i="8"/>
  <c r="G8" i="8" s="1"/>
  <c r="F3" i="8"/>
  <c r="E3" i="8"/>
  <c r="E8" i="8" s="1"/>
  <c r="D3" i="8"/>
  <c r="C3" i="8"/>
  <c r="L3" i="4"/>
  <c r="L8" i="4" s="1"/>
  <c r="K3" i="4"/>
  <c r="K8" i="4" s="1"/>
  <c r="J3" i="4"/>
  <c r="J8" i="4" s="1"/>
  <c r="I3" i="4"/>
  <c r="H3" i="4"/>
  <c r="G3" i="4"/>
  <c r="F3" i="4"/>
  <c r="E3" i="4"/>
  <c r="D3" i="4"/>
  <c r="D8" i="4" s="1"/>
  <c r="C3" i="4"/>
  <c r="C8" i="4" s="1"/>
  <c r="J34" i="10"/>
  <c r="G4" i="9" s="1"/>
  <c r="I34" i="10"/>
  <c r="H34" i="10"/>
  <c r="G34" i="10"/>
  <c r="G4" i="6" s="1"/>
  <c r="J32" i="10"/>
  <c r="I32" i="10"/>
  <c r="H32" i="10"/>
  <c r="G32" i="10"/>
  <c r="F4" i="6" s="1"/>
  <c r="J31" i="10"/>
  <c r="I31" i="10"/>
  <c r="H31" i="10"/>
  <c r="G31" i="10"/>
  <c r="J30" i="10"/>
  <c r="I30" i="10"/>
  <c r="H30" i="10"/>
  <c r="G30" i="10"/>
  <c r="J29" i="10"/>
  <c r="I29" i="10"/>
  <c r="H4" i="8" s="1"/>
  <c r="H29" i="10"/>
  <c r="G29" i="10"/>
  <c r="H4" i="6" s="1"/>
  <c r="J28" i="10"/>
  <c r="C4" i="9" s="1"/>
  <c r="I28" i="10"/>
  <c r="C4" i="8" s="1"/>
  <c r="H28" i="10"/>
  <c r="G28" i="10"/>
  <c r="C4" i="6" s="1"/>
  <c r="I27" i="10"/>
  <c r="H27" i="10"/>
  <c r="F34" i="10"/>
  <c r="G4" i="5" s="1"/>
  <c r="E34" i="10"/>
  <c r="G4" i="15" s="1"/>
  <c r="D34" i="10"/>
  <c r="G4" i="4" s="1"/>
  <c r="C34" i="10"/>
  <c r="G4" i="3" s="1"/>
  <c r="B34" i="10"/>
  <c r="G4" i="2" s="1"/>
  <c r="F32" i="10"/>
  <c r="F4" i="5" s="1"/>
  <c r="E32" i="10"/>
  <c r="F4" i="15" s="1"/>
  <c r="D32" i="10"/>
  <c r="F4" i="4" s="1"/>
  <c r="C32" i="10"/>
  <c r="F4" i="3" s="1"/>
  <c r="B32" i="10"/>
  <c r="F4" i="2" s="1"/>
  <c r="E31" i="10"/>
  <c r="D31" i="10"/>
  <c r="C31" i="10"/>
  <c r="B31" i="10"/>
  <c r="F30" i="10"/>
  <c r="E30" i="10"/>
  <c r="D30" i="10"/>
  <c r="C30" i="10"/>
  <c r="B30" i="10"/>
  <c r="F29" i="10"/>
  <c r="H4" i="5" s="1"/>
  <c r="E29" i="10"/>
  <c r="H4" i="15" s="1"/>
  <c r="D29" i="10"/>
  <c r="H4" i="4" s="1"/>
  <c r="C29" i="10"/>
  <c r="B29" i="10"/>
  <c r="D4" i="2" s="1"/>
  <c r="F28" i="10"/>
  <c r="C4" i="5" s="1"/>
  <c r="E28" i="10"/>
  <c r="C4" i="15" s="1"/>
  <c r="D28" i="10"/>
  <c r="C4" i="4" s="1"/>
  <c r="C28" i="10"/>
  <c r="C4" i="3" s="1"/>
  <c r="B28" i="10"/>
  <c r="C4" i="2" s="1"/>
  <c r="O19" i="12"/>
  <c r="N19" i="12"/>
  <c r="M19" i="12"/>
  <c r="L19" i="12"/>
  <c r="H19" i="12"/>
  <c r="G19" i="12"/>
  <c r="F19" i="12"/>
  <c r="E19" i="12"/>
  <c r="D19" i="12"/>
  <c r="J17" i="12"/>
  <c r="J16" i="12"/>
  <c r="J15" i="12"/>
  <c r="J14" i="12"/>
  <c r="J13" i="12"/>
  <c r="J12" i="12"/>
  <c r="J11" i="12"/>
  <c r="J10" i="12"/>
  <c r="J9" i="12"/>
  <c r="J8" i="12"/>
  <c r="K4" i="8"/>
  <c r="G4" i="8"/>
  <c r="E4" i="8"/>
  <c r="L4" i="8"/>
  <c r="J4" i="8"/>
  <c r="I4" i="8"/>
  <c r="I17" i="12"/>
  <c r="K17" i="12" s="1"/>
  <c r="I16" i="12"/>
  <c r="I15" i="12"/>
  <c r="I14" i="12"/>
  <c r="I13" i="12"/>
  <c r="I12" i="12"/>
  <c r="I11" i="12"/>
  <c r="I10" i="12"/>
  <c r="I9" i="12"/>
  <c r="I8" i="12"/>
  <c r="L2" i="12"/>
  <c r="L17" i="15"/>
  <c r="L2" i="15"/>
  <c r="K17" i="15"/>
  <c r="K2" i="15"/>
  <c r="J17" i="15"/>
  <c r="I17" i="15"/>
  <c r="I2" i="15"/>
  <c r="H17" i="15"/>
  <c r="H2" i="15"/>
  <c r="G17" i="15"/>
  <c r="G2" i="15"/>
  <c r="F17" i="15"/>
  <c r="F2" i="15"/>
  <c r="E17" i="15"/>
  <c r="E2" i="15"/>
  <c r="D17" i="15"/>
  <c r="D2" i="15"/>
  <c r="C17" i="15"/>
  <c r="C2" i="15" s="1"/>
  <c r="J2" i="15"/>
  <c r="J2" i="4"/>
  <c r="I2" i="4"/>
  <c r="E2" i="4"/>
  <c r="L2" i="4"/>
  <c r="K2" i="4"/>
  <c r="H2" i="4"/>
  <c r="G2" i="4"/>
  <c r="F2" i="4"/>
  <c r="D2" i="4"/>
  <c r="C2" i="4"/>
  <c r="C1" i="4"/>
  <c r="C20" i="1"/>
  <c r="A37" i="10"/>
  <c r="B6" i="1"/>
  <c r="L2" i="1"/>
  <c r="G7" i="7"/>
  <c r="G8" i="7"/>
  <c r="G9" i="7"/>
  <c r="G10" i="7"/>
  <c r="G11" i="7"/>
  <c r="G12" i="7"/>
  <c r="G13" i="7"/>
  <c r="G14" i="7"/>
  <c r="G15" i="7"/>
  <c r="G16" i="7"/>
  <c r="G17" i="7"/>
  <c r="G18" i="7"/>
  <c r="G19" i="7"/>
  <c r="G20" i="7"/>
  <c r="G21" i="7"/>
  <c r="G22" i="7"/>
  <c r="G23" i="7"/>
  <c r="C1" i="7"/>
  <c r="C25" i="1" s="1"/>
  <c r="I5" i="2" l="1"/>
  <c r="I2" i="2" s="1"/>
  <c r="I5" i="15"/>
  <c r="I6" i="15" s="1"/>
  <c r="K15" i="12"/>
  <c r="J5" i="2"/>
  <c r="J2" i="2" s="1"/>
  <c r="L5" i="3"/>
  <c r="L2" i="3" s="1"/>
  <c r="L5" i="9"/>
  <c r="L2" i="9" s="1"/>
  <c r="K16" i="12"/>
  <c r="K5" i="8"/>
  <c r="K6" i="8" s="1"/>
  <c r="K5" i="5"/>
  <c r="K2" i="5" s="1"/>
  <c r="J5" i="5"/>
  <c r="J6" i="5" s="1"/>
  <c r="J5" i="6"/>
  <c r="J2" i="6" s="1"/>
  <c r="I5" i="5"/>
  <c r="I2" i="5" s="1"/>
  <c r="I5" i="4"/>
  <c r="I6" i="4" s="1"/>
  <c r="I5" i="9"/>
  <c r="I2" i="9" s="1"/>
  <c r="I5" i="8"/>
  <c r="I6" i="8" s="1"/>
  <c r="I5" i="6"/>
  <c r="I2" i="6" s="1"/>
  <c r="H5" i="8"/>
  <c r="H6" i="8" s="1"/>
  <c r="J5" i="4"/>
  <c r="J6" i="4" s="1"/>
  <c r="H4" i="3"/>
  <c r="H5" i="3" s="1"/>
  <c r="H2" i="3" s="1"/>
  <c r="E4" i="15"/>
  <c r="E5" i="15" s="1"/>
  <c r="E6" i="15" s="1"/>
  <c r="D4" i="4"/>
  <c r="D5" i="4" s="1"/>
  <c r="D6" i="4" s="1"/>
  <c r="E4" i="9"/>
  <c r="E5" i="9" s="1"/>
  <c r="E2" i="9" s="1"/>
  <c r="D4" i="5"/>
  <c r="D5" i="5" s="1"/>
  <c r="D21" i="5" s="1"/>
  <c r="D4" i="8"/>
  <c r="D5" i="8" s="1"/>
  <c r="D6" i="8" s="1"/>
  <c r="C1" i="8"/>
  <c r="C23" i="1" s="1"/>
  <c r="D4" i="6"/>
  <c r="D5" i="6" s="1"/>
  <c r="D2" i="6" s="1"/>
  <c r="D4" i="3"/>
  <c r="D5" i="3" s="1"/>
  <c r="F4" i="8"/>
  <c r="F5" i="8" s="1"/>
  <c r="F6" i="8" s="1"/>
  <c r="K13" i="12"/>
  <c r="K14" i="12"/>
  <c r="J6" i="2"/>
  <c r="K8" i="12"/>
  <c r="L5" i="15"/>
  <c r="L6" i="15" s="1"/>
  <c r="J8" i="6"/>
  <c r="K10" i="12"/>
  <c r="K11" i="12"/>
  <c r="K12" i="12"/>
  <c r="C1" i="15"/>
  <c r="C21" i="1" s="1"/>
  <c r="F5" i="4"/>
  <c r="F6" i="4" s="1"/>
  <c r="G5" i="9"/>
  <c r="G2" i="9" s="1"/>
  <c r="C2" i="7"/>
  <c r="C31" i="1" s="1"/>
  <c r="E34" i="1" s="1"/>
  <c r="G5" i="5"/>
  <c r="G21" i="5" s="1"/>
  <c r="G5" i="4"/>
  <c r="G6" i="4" s="1"/>
  <c r="K6" i="5"/>
  <c r="M15" i="17"/>
  <c r="B16" i="17"/>
  <c r="B19" i="17" s="1"/>
  <c r="C12" i="1" s="1"/>
  <c r="I8" i="8"/>
  <c r="J8" i="2"/>
  <c r="H5" i="5"/>
  <c r="H2" i="5" s="1"/>
  <c r="C5" i="6"/>
  <c r="C2" i="6" s="1"/>
  <c r="J5" i="9"/>
  <c r="J2" i="9" s="1"/>
  <c r="G8" i="4"/>
  <c r="G8" i="5"/>
  <c r="C5" i="4"/>
  <c r="C6" i="4" s="1"/>
  <c r="G8" i="9"/>
  <c r="E5" i="8"/>
  <c r="E6" i="8" s="1"/>
  <c r="J8" i="5"/>
  <c r="K5" i="4"/>
  <c r="K6" i="4" s="1"/>
  <c r="G5" i="15"/>
  <c r="G6" i="15" s="1"/>
  <c r="K8" i="2"/>
  <c r="L5" i="5"/>
  <c r="L6" i="5" s="1"/>
  <c r="L8" i="2"/>
  <c r="C5" i="15"/>
  <c r="C6" i="15" s="1"/>
  <c r="I5" i="3"/>
  <c r="I8" i="5"/>
  <c r="D5" i="9"/>
  <c r="D2" i="9" s="1"/>
  <c r="C5" i="9"/>
  <c r="H5" i="4"/>
  <c r="H6" i="4" s="1"/>
  <c r="E5" i="3"/>
  <c r="E2" i="3" s="1"/>
  <c r="C5" i="3"/>
  <c r="C2" i="3" s="1"/>
  <c r="H4" i="2"/>
  <c r="H5" i="2" s="1"/>
  <c r="H2" i="2" s="1"/>
  <c r="H5" i="15"/>
  <c r="H6" i="15" s="1"/>
  <c r="F5" i="6"/>
  <c r="F2" i="6" s="1"/>
  <c r="K9" i="12"/>
  <c r="C5" i="5"/>
  <c r="C15" i="5" s="1"/>
  <c r="C8" i="5"/>
  <c r="L8" i="9"/>
  <c r="J8" i="15"/>
  <c r="K5" i="15"/>
  <c r="K6" i="15" s="1"/>
  <c r="C8" i="8"/>
  <c r="I8" i="6"/>
  <c r="K8" i="5"/>
  <c r="H8" i="3"/>
  <c r="C5" i="8"/>
  <c r="C6" i="8" s="1"/>
  <c r="K5" i="6"/>
  <c r="K2" i="6" s="1"/>
  <c r="E5" i="6"/>
  <c r="E2" i="6" s="1"/>
  <c r="E8" i="6"/>
  <c r="K8" i="15"/>
  <c r="L8" i="3"/>
  <c r="K5" i="3"/>
  <c r="K2" i="3" s="1"/>
  <c r="D5" i="2"/>
  <c r="D2" i="2" s="1"/>
  <c r="I8" i="15"/>
  <c r="L5" i="8"/>
  <c r="L6" i="8" s="1"/>
  <c r="L6" i="2"/>
  <c r="H8" i="4"/>
  <c r="F8" i="8"/>
  <c r="I8" i="9"/>
  <c r="H5" i="9"/>
  <c r="H2" i="9" s="1"/>
  <c r="I8" i="2"/>
  <c r="E5" i="4"/>
  <c r="E6" i="4" s="1"/>
  <c r="D5" i="15"/>
  <c r="D6" i="15" s="1"/>
  <c r="G8" i="3"/>
  <c r="J5" i="8"/>
  <c r="J6" i="8" s="1"/>
  <c r="H5" i="6"/>
  <c r="E5" i="5"/>
  <c r="E6" i="5" s="1"/>
  <c r="F5" i="5"/>
  <c r="J5" i="3"/>
  <c r="J2" i="3" s="1"/>
  <c r="G5" i="3"/>
  <c r="G2" i="3" s="1"/>
  <c r="E8" i="5"/>
  <c r="K8" i="9"/>
  <c r="E8" i="4"/>
  <c r="E8" i="15"/>
  <c r="F5" i="15"/>
  <c r="F6" i="15" s="1"/>
  <c r="F8" i="4"/>
  <c r="F8" i="15"/>
  <c r="C8" i="3"/>
  <c r="I6" i="9"/>
  <c r="K8" i="8"/>
  <c r="C5" i="2"/>
  <c r="C2" i="2" s="1"/>
  <c r="F5" i="9"/>
  <c r="F2" i="9" s="1"/>
  <c r="K15" i="5"/>
  <c r="L5" i="4"/>
  <c r="L6" i="4" s="1"/>
  <c r="I8" i="4"/>
  <c r="H8" i="15"/>
  <c r="G5" i="8"/>
  <c r="G6" i="8" s="1"/>
  <c r="D8" i="8"/>
  <c r="K5" i="9"/>
  <c r="K2" i="9" s="1"/>
  <c r="L5" i="6"/>
  <c r="L2" i="6" s="1"/>
  <c r="G5" i="6"/>
  <c r="G2" i="6" s="1"/>
  <c r="F5" i="3"/>
  <c r="F2" i="3" s="1"/>
  <c r="E5" i="2"/>
  <c r="E2" i="2" s="1"/>
  <c r="F5" i="2"/>
  <c r="F2" i="2" s="1"/>
  <c r="K6" i="2"/>
  <c r="J6" i="15"/>
  <c r="G5" i="2"/>
  <c r="G2" i="2" s="1"/>
  <c r="K21" i="5" l="1"/>
  <c r="I6" i="2"/>
  <c r="I6" i="6"/>
  <c r="J2" i="5"/>
  <c r="C46" i="1" s="1"/>
  <c r="J15" i="5"/>
  <c r="L6" i="3"/>
  <c r="L6" i="9"/>
  <c r="J6" i="6"/>
  <c r="J21" i="5"/>
  <c r="I6" i="5"/>
  <c r="I21" i="5"/>
  <c r="I15" i="5"/>
  <c r="C47" i="1"/>
  <c r="C6" i="9"/>
  <c r="C2" i="9"/>
  <c r="C1" i="9" s="1"/>
  <c r="C26" i="1" s="1"/>
  <c r="G6" i="5"/>
  <c r="G2" i="5"/>
  <c r="C43" i="1" s="1"/>
  <c r="I6" i="3"/>
  <c r="I2" i="3"/>
  <c r="C45" i="1" s="1"/>
  <c r="D6" i="3"/>
  <c r="D2" i="3"/>
  <c r="E6" i="3"/>
  <c r="G15" i="5"/>
  <c r="G6" i="9"/>
  <c r="H6" i="3"/>
  <c r="E6" i="2"/>
  <c r="L6" i="6"/>
  <c r="K6" i="6"/>
  <c r="J6" i="9"/>
  <c r="E12" i="1"/>
  <c r="N15" i="17"/>
  <c r="B17" i="17"/>
  <c r="C16" i="17" s="1"/>
  <c r="C17" i="17" s="1"/>
  <c r="G6" i="2"/>
  <c r="D2" i="5"/>
  <c r="D15" i="5"/>
  <c r="E6" i="6"/>
  <c r="G6" i="3"/>
  <c r="D6" i="5"/>
  <c r="C6" i="6"/>
  <c r="H21" i="5"/>
  <c r="L21" i="5"/>
  <c r="H15" i="5"/>
  <c r="H6" i="2"/>
  <c r="H6" i="5"/>
  <c r="D6" i="9"/>
  <c r="K6" i="3"/>
  <c r="F6" i="6"/>
  <c r="E6" i="9"/>
  <c r="J6" i="3"/>
  <c r="L15" i="5"/>
  <c r="L2" i="5"/>
  <c r="C48" i="1" s="1"/>
  <c r="C6" i="5"/>
  <c r="C21" i="5"/>
  <c r="C6" i="3"/>
  <c r="C2" i="5"/>
  <c r="D6" i="2"/>
  <c r="F6" i="9"/>
  <c r="E21" i="5"/>
  <c r="F6" i="2"/>
  <c r="F6" i="3"/>
  <c r="D6" i="6"/>
  <c r="K6" i="9"/>
  <c r="F21" i="5"/>
  <c r="F15" i="5"/>
  <c r="F2" i="5"/>
  <c r="C42" i="1" s="1"/>
  <c r="C6" i="2"/>
  <c r="F6" i="5"/>
  <c r="G6" i="6"/>
  <c r="E2" i="5"/>
  <c r="C41" i="1" s="1"/>
  <c r="E15" i="5"/>
  <c r="H6" i="9"/>
  <c r="H2" i="6"/>
  <c r="C44" i="1" s="1"/>
  <c r="H6" i="6"/>
  <c r="C1" i="2"/>
  <c r="C18" i="1" s="1"/>
  <c r="C40" i="1" l="1"/>
  <c r="E48" i="1" s="1"/>
  <c r="C39" i="1"/>
  <c r="E18" i="1"/>
  <c r="E25" i="1"/>
  <c r="E23" i="1"/>
  <c r="E26" i="1"/>
  <c r="E21" i="1"/>
  <c r="E20" i="1"/>
  <c r="O15" i="17"/>
  <c r="C1" i="3"/>
  <c r="C19" i="1" s="1"/>
  <c r="E19" i="1" s="1"/>
  <c r="C1" i="6"/>
  <c r="C24" i="1" s="1"/>
  <c r="E24" i="1" s="1"/>
  <c r="A19" i="5"/>
  <c r="A26" i="5"/>
  <c r="A20" i="5"/>
  <c r="C1" i="5"/>
  <c r="C22" i="1" s="1"/>
  <c r="E22" i="1" s="1"/>
  <c r="A25" i="5"/>
  <c r="D16" i="17"/>
  <c r="D17" i="17" s="1"/>
  <c r="E45" i="1" l="1"/>
  <c r="E46" i="1"/>
  <c r="E42" i="1"/>
  <c r="C28" i="1"/>
  <c r="E28" i="1" s="1"/>
  <c r="E47" i="1"/>
  <c r="P15" i="17"/>
  <c r="E44" i="1"/>
  <c r="E41" i="1"/>
  <c r="E43" i="1"/>
  <c r="E39" i="1"/>
  <c r="E40" i="1"/>
  <c r="E31" i="1"/>
  <c r="E32" i="1" s="1"/>
  <c r="C15" i="1"/>
  <c r="E15" i="1" s="1"/>
  <c r="E16" i="17"/>
  <c r="E17" i="17" s="1"/>
  <c r="Q15" i="17" l="1"/>
  <c r="F31" i="1"/>
  <c r="E33" i="1"/>
  <c r="F16" i="17"/>
  <c r="F17" i="17" s="1"/>
  <c r="R15" i="17" l="1"/>
  <c r="G16" i="17"/>
  <c r="G17" i="17" s="1"/>
  <c r="S15" i="17" l="1"/>
  <c r="H16" i="17"/>
  <c r="H17" i="17" s="1"/>
  <c r="T15" i="17" l="1"/>
  <c r="I16" i="17"/>
  <c r="I17" i="17" s="1"/>
  <c r="U15" i="17" l="1"/>
  <c r="J16" i="17"/>
  <c r="J17" i="17" s="1"/>
  <c r="V15" i="17" l="1"/>
  <c r="K16" i="17"/>
  <c r="K17" i="17" s="1"/>
  <c r="L16" i="17" l="1"/>
  <c r="L17" i="17" s="1"/>
  <c r="V16" i="17"/>
  <c r="W15" i="17"/>
  <c r="V17" i="17"/>
  <c r="M16" i="17" l="1"/>
  <c r="M17" i="17" s="1"/>
  <c r="W16" i="17"/>
  <c r="X15" i="17"/>
  <c r="W17" i="17"/>
  <c r="N16" i="17" l="1"/>
  <c r="N17" i="17" s="1"/>
  <c r="X17" i="17"/>
  <c r="Y15" i="17"/>
  <c r="X16" i="17"/>
  <c r="O16" i="17" l="1"/>
  <c r="O17" i="17" s="1"/>
  <c r="Y17" i="17"/>
  <c r="Z15" i="17"/>
  <c r="Y16" i="17"/>
  <c r="P16" i="17" l="1"/>
  <c r="P17" i="17" s="1"/>
  <c r="Z17" i="17"/>
  <c r="Z16" i="17"/>
  <c r="AA15" i="17"/>
  <c r="Q16" i="17" l="1"/>
  <c r="Q17" i="17" s="1"/>
  <c r="AB15" i="17"/>
  <c r="AA17" i="17"/>
  <c r="AA16" i="17"/>
  <c r="R16" i="17" l="1"/>
  <c r="R17" i="17" s="1"/>
  <c r="AC15" i="17"/>
  <c r="AB16" i="17"/>
  <c r="AB17" i="17"/>
  <c r="S16" i="17" l="1"/>
  <c r="S17" i="17" s="1"/>
  <c r="AD15" i="17"/>
  <c r="AC16" i="17"/>
  <c r="AC17" i="17"/>
  <c r="T16" i="17" l="1"/>
  <c r="T17" i="17" s="1"/>
  <c r="AD16" i="17"/>
  <c r="AE15" i="17"/>
  <c r="AD17" i="17"/>
  <c r="U16" i="17" l="1"/>
  <c r="U17" i="17" s="1"/>
  <c r="AE17" i="17"/>
  <c r="AE16" i="17"/>
</calcChain>
</file>

<file path=xl/sharedStrings.xml><?xml version="1.0" encoding="utf-8"?>
<sst xmlns="http://schemas.openxmlformats.org/spreadsheetml/2006/main" count="453" uniqueCount="246">
  <si>
    <t>How Much Can I Raise?</t>
  </si>
  <si>
    <t>Percent to Goal</t>
  </si>
  <si>
    <t>Total</t>
  </si>
  <si>
    <t>Percent of Need</t>
  </si>
  <si>
    <t>Unmet</t>
  </si>
  <si>
    <t>Other</t>
  </si>
  <si>
    <t>Grant Name</t>
  </si>
  <si>
    <t>Amount</t>
  </si>
  <si>
    <t>Required Match</t>
  </si>
  <si>
    <t>Grant Type</t>
  </si>
  <si>
    <t>GrantType</t>
  </si>
  <si>
    <t>Federal</t>
  </si>
  <si>
    <t>Non-Federal</t>
  </si>
  <si>
    <t>CanFederalFundsBeUsedAsMatch</t>
  </si>
  <si>
    <t>Yes</t>
  </si>
  <si>
    <t>No</t>
  </si>
  <si>
    <t>From Current Property Tax Revenue</t>
  </si>
  <si>
    <t>or</t>
  </si>
  <si>
    <t>Revenue Source</t>
  </si>
  <si>
    <t>Copyright © 2013 Environmental Finance Center at The University of North Carolina at Chapel Hill School of Government</t>
  </si>
  <si>
    <t>PROPERTY TAXES</t>
  </si>
  <si>
    <t>Number of Parcels</t>
  </si>
  <si>
    <t>Flat Fee per Parcel</t>
  </si>
  <si>
    <t>SALES TAXES</t>
  </si>
  <si>
    <t>PERMIT FEES</t>
  </si>
  <si>
    <t>GRANTS</t>
  </si>
  <si>
    <t>Required Match %</t>
  </si>
  <si>
    <t>Required Match Amount</t>
  </si>
  <si>
    <t>OTHER FUNDING SOURCES</t>
  </si>
  <si>
    <t>What Do You Want To Do?</t>
  </si>
  <si>
    <t>WhatDoYouWantToDo</t>
  </si>
  <si>
    <t>Target a specific amount</t>
  </si>
  <si>
    <t>See how much we can raise</t>
  </si>
  <si>
    <t>Can This Grant Be Used for Federal Match?</t>
  </si>
  <si>
    <t>Name of Entity</t>
  </si>
  <si>
    <t>Type of Entity</t>
  </si>
  <si>
    <t>How many entities are involved in the program?</t>
  </si>
  <si>
    <t>List of Entities Involved in the Program</t>
  </si>
  <si>
    <t>Produced for Oregon Dept. of Land Conservation and Development as part of technical assistance funded by the U.S. Environmental Protection Agency</t>
  </si>
  <si>
    <t>TypesOfEntities</t>
  </si>
  <si>
    <t>EntitiesInvolved</t>
  </si>
  <si>
    <t>State Government</t>
  </si>
  <si>
    <t>Special District</t>
  </si>
  <si>
    <t>Municipal Government</t>
  </si>
  <si>
    <t>County Government</t>
  </si>
  <si>
    <t>Nonprofit</t>
  </si>
  <si>
    <t>Watershed Council</t>
  </si>
  <si>
    <t>Entity</t>
  </si>
  <si>
    <t>Column subtotal</t>
  </si>
  <si>
    <t>Entity Entered?</t>
  </si>
  <si>
    <t>Can generate this funding source?</t>
  </si>
  <si>
    <t>Property</t>
  </si>
  <si>
    <t>Sales</t>
  </si>
  <si>
    <t>Water</t>
  </si>
  <si>
    <t>Wastewater</t>
  </si>
  <si>
    <t>WaterQuality</t>
  </si>
  <si>
    <t>Permit</t>
  </si>
  <si>
    <t>Grant</t>
  </si>
  <si>
    <t>Display this column?</t>
  </si>
  <si>
    <t xml:space="preserve">            (up to 10 allowed)</t>
  </si>
  <si>
    <t>Display cannot raise message?</t>
  </si>
  <si>
    <t>Field active?</t>
  </si>
  <si>
    <t>Name &amp; Type?</t>
  </si>
  <si>
    <t>Error?</t>
  </si>
  <si>
    <t>&lt;-- The name and type of entity are required</t>
  </si>
  <si>
    <t>WASTEWATER REVENUE</t>
  </si>
  <si>
    <t>From Current Wastewater Revenue</t>
  </si>
  <si>
    <t>Annual Wastewater Revenue</t>
  </si>
  <si>
    <t>Billing Cycle</t>
  </si>
  <si>
    <t>Months of Billing Cycle</t>
  </si>
  <si>
    <t>Monthly</t>
  </si>
  <si>
    <t>Bi-Monthly</t>
  </si>
  <si>
    <t>Quarterly</t>
  </si>
  <si>
    <t>Unit of Measurement</t>
  </si>
  <si>
    <t>UnitofMeasurement</t>
  </si>
  <si>
    <t>CCF</t>
  </si>
  <si>
    <t>From Current Permit Fee Revenue</t>
  </si>
  <si>
    <t>Annual Permit Fee Revenue</t>
  </si>
  <si>
    <t>Number of Permits Issued Annually</t>
  </si>
  <si>
    <t>Fee Increase ($ per permit)</t>
  </si>
  <si>
    <t>Dropdown List Grants</t>
  </si>
  <si>
    <t>Grant Prime</t>
  </si>
  <si>
    <t>Annual Water Quality Fee Revenue</t>
  </si>
  <si>
    <t>Basis of Residential Fee</t>
  </si>
  <si>
    <t>Residential Accounts</t>
  </si>
  <si>
    <t>Basis of Water Quality Fee</t>
  </si>
  <si>
    <t>Flat Fee</t>
  </si>
  <si>
    <t>ERU</t>
  </si>
  <si>
    <t>ERU Size (Square Feet)</t>
  </si>
  <si>
    <t>Average Impervious Size (Square Feet)</t>
  </si>
  <si>
    <t>Basis of Commercial Fee</t>
  </si>
  <si>
    <t>Commercial Accounts</t>
  </si>
  <si>
    <t>Characteristics of Water System</t>
  </si>
  <si>
    <t>From Current Water Revenue</t>
  </si>
  <si>
    <t>Rate Structure 1 Accounts</t>
  </si>
  <si>
    <t>Rate Structure 2 Accounts</t>
  </si>
  <si>
    <t>Rate Structure 3 Accounts</t>
  </si>
  <si>
    <t>Rate Structure 4 Accounts</t>
  </si>
  <si>
    <t>1000 Gallons</t>
  </si>
  <si>
    <t>Rate Structure 1 Base Charge Increase</t>
  </si>
  <si>
    <t>Rate Structure 2 Base Charge Increase</t>
  </si>
  <si>
    <t>Rate Structure 3 Base Charge Increase</t>
  </si>
  <si>
    <t>Rate Structure 4 Base Charge Increase</t>
  </si>
  <si>
    <t>Annual Water Revenue</t>
  </si>
  <si>
    <t>Percentage for Water Quality Projects</t>
  </si>
  <si>
    <t>Fixed level for Water Quality Projects</t>
  </si>
  <si>
    <t>Average Rate Structure 1 Use (1000 gal or CCF/billing period)</t>
  </si>
  <si>
    <t>1000 gal or CCF included in Rate Structure 1 Base Charge</t>
  </si>
  <si>
    <t>1000 gal or CCF included in Rate Structure 2 Base Charge</t>
  </si>
  <si>
    <t>Average Rate Structure 2 Use (1000 gal or CCF/billing period)</t>
  </si>
  <si>
    <t>1000 gal or CCF included in Rate Structure 3 Base Charge</t>
  </si>
  <si>
    <t>Average Rate Structure 3 Use (1000 gal or CCF/billing period)</t>
  </si>
  <si>
    <t>1000 gal or CCF included in Rate Structure 4 Base Charge</t>
  </si>
  <si>
    <t>Average Rate Structure 4 Use (1000 gal or CCF/billing period)</t>
  </si>
  <si>
    <t>WATER REVENUE</t>
  </si>
  <si>
    <t>Characteristics of Wastewater System</t>
  </si>
  <si>
    <t>From Current Sales Tax Revenue</t>
  </si>
  <si>
    <t>Annual Sales Tax Revenue</t>
  </si>
  <si>
    <t>Total Taxable Sales Volume</t>
  </si>
  <si>
    <t>Number of Taxable Sales</t>
  </si>
  <si>
    <t>Fixed Amount ($) per Sale</t>
  </si>
  <si>
    <t>Increase property taxes to pay for water quality projects</t>
  </si>
  <si>
    <t>Increase sales taxes to pay for water quality projects</t>
  </si>
  <si>
    <t>Increase Water Base Charge to pay for water quality projects</t>
  </si>
  <si>
    <t>Increase Water Rates  to pay for water quality projects</t>
  </si>
  <si>
    <t>Increase Wastewater Base Charge to pay for water quality projects</t>
  </si>
  <si>
    <t>Increase Wastewater Rates to pay for water quality projects</t>
  </si>
  <si>
    <t>Increase in Permit Fees to pay for water quality projects</t>
  </si>
  <si>
    <t>Rate 1 Volumetric Increase ($/1000 gal or CCF) *</t>
  </si>
  <si>
    <t>Rate 2 Volumetric Increase ($/1000 gal or CCF) *</t>
  </si>
  <si>
    <t>Rate 3 Volumetric Increase ($/1000 gal or CCF) *</t>
  </si>
  <si>
    <t>Rate 4 Volumetric Increase ($/1000 gal or CCF) *</t>
  </si>
  <si>
    <t>* Note: The tool assumes that, if your system has a block rate structure, each block will be increased the same amount</t>
  </si>
  <si>
    <t>Cost Share Funds from Outside Partners</t>
  </si>
  <si>
    <t>Amount provided as cost share ($)</t>
  </si>
  <si>
    <t>From Current Stormwater/Water Quality Fee Revenue</t>
  </si>
  <si>
    <t>STORMWATER &amp; WATER QUALITY FEES</t>
  </si>
  <si>
    <t>Ways that Entities can Raise Funds</t>
  </si>
  <si>
    <t>Corporate Sponsorship</t>
  </si>
  <si>
    <t>Total From Corporate Sponsors ($)</t>
  </si>
  <si>
    <t>Increase Stormwater/Water Quality Fees for water quality projects</t>
  </si>
  <si>
    <t>Crowd-source financing</t>
  </si>
  <si>
    <t>Total from Crowd Source Financing ($)</t>
  </si>
  <si>
    <t>Other Funds</t>
  </si>
  <si>
    <t>Total Other Funds ($)</t>
  </si>
  <si>
    <r>
      <t xml:space="preserve">From Current Income Tax Revenue  </t>
    </r>
    <r>
      <rPr>
        <i/>
        <sz val="10"/>
        <color theme="0" tint="-0.499984740745262"/>
        <rFont val="Calibri"/>
        <family val="2"/>
        <scheme val="minor"/>
      </rPr>
      <t>* not available to most entities</t>
    </r>
  </si>
  <si>
    <t>Total Volume of Taxable Income</t>
  </si>
  <si>
    <t>Increase (%)</t>
  </si>
  <si>
    <r>
      <t>Increase income taxes to pay for water quality projects</t>
    </r>
    <r>
      <rPr>
        <i/>
        <sz val="10"/>
        <color theme="0" tint="-0.499984740745262"/>
        <rFont val="Calibri"/>
        <family val="2"/>
        <scheme val="minor"/>
      </rPr>
      <t xml:space="preserve">  * not available to most entities</t>
    </r>
  </si>
  <si>
    <t>Annual Flood Zone Fee Revenue</t>
  </si>
  <si>
    <t>From Current Flood Control Zone Fee Revenue</t>
  </si>
  <si>
    <t>Increase Flood Control Zone Fees for water quality projects</t>
  </si>
  <si>
    <t>FLOOD CONTROL ZONE FEES</t>
  </si>
  <si>
    <t>Total Valuation of Properties</t>
  </si>
  <si>
    <t>Residential Properties</t>
  </si>
  <si>
    <t>Commercial Properties</t>
  </si>
  <si>
    <t>FloodZone</t>
  </si>
  <si>
    <t>Basis of Flood Control Zone Fee</t>
  </si>
  <si>
    <t>Per $100 of Valuation</t>
  </si>
  <si>
    <t>Don't Show Res Valuation</t>
  </si>
  <si>
    <t>Don't Show Res ERU</t>
  </si>
  <si>
    <t>Don't Show Commercial Valuation</t>
  </si>
  <si>
    <t>Don't Show Commercial ERU</t>
  </si>
  <si>
    <t>Increase ($)</t>
  </si>
  <si>
    <t>These cells control the views above</t>
  </si>
  <si>
    <t>Needed</t>
  </si>
  <si>
    <t>Available</t>
  </si>
  <si>
    <t>Grant Required Match</t>
  </si>
  <si>
    <t>Available for Match</t>
  </si>
  <si>
    <t>show as green</t>
  </si>
  <si>
    <t>show as red</t>
  </si>
  <si>
    <t>Annual Property Tax Revenue ($)</t>
  </si>
  <si>
    <t>Percentage for Water Quality Projects (%)</t>
  </si>
  <si>
    <t>Fixed level for Water Quality Projects ($)</t>
  </si>
  <si>
    <t>Total Assessed Property Value ($)</t>
  </si>
  <si>
    <t>Annual Income Tax Revenue ($)</t>
  </si>
  <si>
    <t>Non-governmental Water or Wastewater System</t>
  </si>
  <si>
    <t>Rate Structure 1 Base Charge Increase ($)</t>
  </si>
  <si>
    <t>Rate Structure 2 Base Charge Increase ($)</t>
  </si>
  <si>
    <t>Rate Structure 3 Base Charge Increase ($)</t>
  </si>
  <si>
    <t>Rate Structure 4 Base Charge Increase ($)</t>
  </si>
  <si>
    <t>Outside Partner Name(s)</t>
  </si>
  <si>
    <t>don't show at all</t>
  </si>
  <si>
    <t>Contribution by Partner Entity</t>
  </si>
  <si>
    <t>Total Amount</t>
  </si>
  <si>
    <t>T/F</t>
  </si>
  <si>
    <t xml:space="preserve">Step 1) </t>
  </si>
  <si>
    <t xml:space="preserve">Step 2) </t>
  </si>
  <si>
    <t>Step 3)</t>
  </si>
  <si>
    <t xml:space="preserve">Step 4) </t>
  </si>
  <si>
    <t xml:space="preserve">Step 5) </t>
  </si>
  <si>
    <t xml:space="preserve">Step 6) </t>
  </si>
  <si>
    <t xml:space="preserve">1. To begin, select the number of partner entities for this project from the Getting Started tab.  </t>
  </si>
  <si>
    <t xml:space="preserve">4. Indicate intended course of action.  If targeting a specific amount, enter value in the box indicated with the orange arrow in Step 5.  If "See how much we can raise" is selected, proceed to Step 6.    </t>
  </si>
  <si>
    <t xml:space="preserve">Percent Contribution </t>
  </si>
  <si>
    <t xml:space="preserve">Name of Entity </t>
  </si>
  <si>
    <r>
      <rPr>
        <i/>
        <sz val="8"/>
        <color theme="1"/>
        <rFont val="Calibri"/>
        <family val="2"/>
        <scheme val="minor"/>
      </rPr>
      <t>For updates on this tool, please visit</t>
    </r>
    <r>
      <rPr>
        <i/>
        <sz val="8"/>
        <color rgb="FF00B0F0"/>
        <rFont val="Calibri"/>
        <family val="2"/>
        <scheme val="minor"/>
      </rPr>
      <t xml:space="preserve"> </t>
    </r>
    <r>
      <rPr>
        <i/>
        <sz val="8"/>
        <color theme="4"/>
        <rFont val="Calibri"/>
        <family val="2"/>
        <scheme val="minor"/>
      </rPr>
      <t>http://www.efc.sog.unc.edu</t>
    </r>
    <r>
      <rPr>
        <i/>
        <sz val="8"/>
        <color rgb="FF00B0F0"/>
        <rFont val="Calibri"/>
        <family val="2"/>
        <scheme val="minor"/>
      </rPr>
      <t xml:space="preserve"> </t>
    </r>
    <r>
      <rPr>
        <i/>
        <sz val="8"/>
        <color theme="1"/>
        <rFont val="Calibri"/>
        <family val="2"/>
        <scheme val="minor"/>
      </rPr>
      <t>and look under Resources --&gt; Tools</t>
    </r>
  </si>
  <si>
    <t xml:space="preserve">   Length of loan (in years)</t>
  </si>
  <si>
    <t>Amount to be paid from Cash</t>
  </si>
  <si>
    <t>Amount to be paid from Debt</t>
  </si>
  <si>
    <t>Amount Needed This Year</t>
  </si>
  <si>
    <t>(Cash + PI on Debt this year)</t>
  </si>
  <si>
    <t>Year</t>
  </si>
  <si>
    <t>Payment</t>
  </si>
  <si>
    <t>Outstanding Principal</t>
  </si>
  <si>
    <t>REVENUE FROM LOAN INCOME</t>
  </si>
  <si>
    <t>Amount Financed ($):</t>
  </si>
  <si>
    <t>Interest Rate (%):</t>
  </si>
  <si>
    <t>Term of Loan (years):</t>
  </si>
  <si>
    <t>Total Loan Revenue Available for Sustainability (Year 1):</t>
  </si>
  <si>
    <t>Calculating Debt Service</t>
  </si>
  <si>
    <t>(using simple interest)</t>
  </si>
  <si>
    <t xml:space="preserve">   Interest Rate of Debt (%)</t>
  </si>
  <si>
    <t>Owed on debt in first year</t>
  </si>
  <si>
    <t>5. Input annual interest rate and years to pay in order to determine mix of Cash to Debt Financing.</t>
  </si>
  <si>
    <t xml:space="preserve">7. For each worksheet, add relevant inputs, if any.  When completed, select "To Dashboard" hyperlink to return to Step 6) and proceed to the next revenue source.  </t>
  </si>
  <si>
    <t xml:space="preserve">2. For each Entity, enter its name, and select what type of entity it is from the pull-down menu.   </t>
  </si>
  <si>
    <t>3. Verify the sources of available funding for each type of entity.  Once finished, click the arrow and proceed to the Dashboard.</t>
  </si>
  <si>
    <t>6. To choose revenue sources for particular project, select hyperlinks in Step 6 and fill in the appropriate information on the corresponding worksheets in the blue boxes.</t>
  </si>
  <si>
    <t>Summary of Grants</t>
  </si>
  <si>
    <t>Hotel Tax</t>
  </si>
  <si>
    <t>Annual Hotel Tax Revenue</t>
  </si>
  <si>
    <t>Total Hotel Sales Volume</t>
  </si>
  <si>
    <t>Restaurant Tax</t>
  </si>
  <si>
    <t>Rafting Tax</t>
  </si>
  <si>
    <t>Annual Restaurant Tax Revenue</t>
  </si>
  <si>
    <t>Total Restaurant Sales Volume</t>
  </si>
  <si>
    <t>Annual Rafting Tax Revenue</t>
  </si>
  <si>
    <t>Total Rafting Sales Volume</t>
  </si>
  <si>
    <t>In Kind Contributions</t>
  </si>
  <si>
    <t>In Kind Land</t>
  </si>
  <si>
    <t>In Kind Equipment</t>
  </si>
  <si>
    <t>In Kind Staffing</t>
  </si>
  <si>
    <t>In Kind Other</t>
  </si>
  <si>
    <r>
      <t xml:space="preserve">Financing Wetland &amp; Water Quality Improvements Tool </t>
    </r>
    <r>
      <rPr>
        <b/>
        <sz val="16"/>
        <color theme="1"/>
        <rFont val="Calibri"/>
        <family val="2"/>
        <scheme val="minor"/>
      </rPr>
      <t>v. 1.1</t>
    </r>
  </si>
  <si>
    <t>Oxbow County</t>
  </si>
  <si>
    <t>City of Pool</t>
  </si>
  <si>
    <t>City of Riffle</t>
  </si>
  <si>
    <t>Wishful Watershed Council</t>
  </si>
  <si>
    <t>Council of Government</t>
  </si>
  <si>
    <t>Soil &amp; Water Conservation</t>
  </si>
  <si>
    <t>Increase per account billed or per ERU ($)</t>
  </si>
  <si>
    <t>Increase ($/$1000 of Valuation)</t>
  </si>
  <si>
    <t>Private Individual/Landowner</t>
  </si>
  <si>
    <t>Flat Fee per Account</t>
  </si>
  <si>
    <t>Version 1.1 - Last Edited on 7/24/14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</si>
</sst>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_);[Red]\(&quot;$&quot;#,##0.00\)"/>
    <numFmt numFmtId="44" formatCode="_(&quot;$&quot;* #,##0.00_);_(&quot;$&quot;* \(#,##0.00\);_(&quot;$&quot;* &quot;-&quot;??_);_(@_)"/>
    <numFmt numFmtId="164" formatCode="&quot;$&quot;#,##0.00"/>
    <numFmt numFmtId="165" formatCode="&quot;$&quot;#,##0.000"/>
    <numFmt numFmtId="166" formatCode="&quot;$&quot;#,##0"/>
    <numFmt numFmtId="167" formatCode="0.0%"/>
    <numFmt numFmtId="168" formatCode="_(&quot;$&quot;* #,##0_);_(&quot;$&quot;* \(#,##0\);_(&quot;$&quot;* &quot;-&quot;??_);_(@_)"/>
  </numFmts>
  <fonts count="26"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i/>
      <sz val="11"/>
      <color theme="1"/>
      <name val="Calibri"/>
      <family val="2"/>
      <scheme val="minor"/>
    </font>
    <font>
      <u/>
      <sz val="11"/>
      <color theme="10"/>
      <name val="Calibri"/>
      <family val="2"/>
      <scheme val="minor"/>
    </font>
    <font>
      <b/>
      <sz val="24"/>
      <color theme="1"/>
      <name val="Calibri"/>
      <family val="2"/>
      <scheme val="minor"/>
    </font>
    <font>
      <i/>
      <sz val="8"/>
      <color theme="1"/>
      <name val="Calibri"/>
      <family val="2"/>
      <scheme val="minor"/>
    </font>
    <font>
      <sz val="11"/>
      <color theme="6" tint="0.79998168889431442"/>
      <name val="Calibri"/>
      <family val="2"/>
      <scheme val="minor"/>
    </font>
    <font>
      <b/>
      <sz val="11"/>
      <color theme="6" tint="0.79998168889431442"/>
      <name val="Calibri"/>
      <family val="2"/>
      <scheme val="minor"/>
    </font>
    <font>
      <sz val="11"/>
      <name val="Calibri"/>
      <family val="2"/>
      <scheme val="minor"/>
    </font>
    <font>
      <i/>
      <sz val="9"/>
      <color theme="1"/>
      <name val="Calibri"/>
      <family val="2"/>
      <scheme val="minor"/>
    </font>
    <font>
      <i/>
      <sz val="9"/>
      <color theme="6" tint="0.79998168889431442"/>
      <name val="Calibri"/>
      <family val="2"/>
      <scheme val="minor"/>
    </font>
    <font>
      <b/>
      <sz val="11"/>
      <color rgb="FFC00000"/>
      <name val="Calibri"/>
      <family val="2"/>
      <scheme val="minor"/>
    </font>
    <font>
      <i/>
      <sz val="10"/>
      <color theme="0" tint="-0.499984740745262"/>
      <name val="Calibri"/>
      <family val="2"/>
      <scheme val="minor"/>
    </font>
    <font>
      <b/>
      <sz val="16"/>
      <color theme="1"/>
      <name val="Calibri"/>
      <family val="2"/>
      <scheme val="minor"/>
    </font>
    <font>
      <i/>
      <sz val="8"/>
      <color theme="10"/>
      <name val="Calibri"/>
      <family val="2"/>
      <scheme val="minor"/>
    </font>
    <font>
      <i/>
      <sz val="8"/>
      <color theme="4"/>
      <name val="Calibri"/>
      <family val="2"/>
      <scheme val="minor"/>
    </font>
    <font>
      <i/>
      <sz val="8"/>
      <color rgb="FF00B0F0"/>
      <name val="Calibri"/>
      <family val="2"/>
      <scheme val="minor"/>
    </font>
    <font>
      <b/>
      <sz val="12"/>
      <color theme="1"/>
      <name val="Wingdings"/>
      <charset val="2"/>
    </font>
    <font>
      <i/>
      <sz val="11"/>
      <color theme="6" tint="0.79998168889431442"/>
      <name val="Calibri"/>
      <family val="2"/>
      <scheme val="minor"/>
    </font>
    <font>
      <sz val="11"/>
      <color theme="1"/>
      <name val="Arial"/>
      <family val="2"/>
    </font>
    <font>
      <b/>
      <sz val="12"/>
      <color theme="1"/>
      <name val="Arial"/>
      <family val="2"/>
    </font>
    <font>
      <b/>
      <u/>
      <sz val="16"/>
      <color theme="10"/>
      <name val="Arial"/>
      <family val="2"/>
    </font>
    <font>
      <b/>
      <sz val="10"/>
      <color theme="1"/>
      <name val="Arial"/>
      <family val="2"/>
    </font>
    <font>
      <b/>
      <sz val="11"/>
      <color theme="1"/>
      <name val="Arial"/>
      <family val="2"/>
    </font>
  </fonts>
  <fills count="8">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applyNumberFormat="0" applyFill="0" applyBorder="0" applyAlignment="0" applyProtection="0"/>
    <xf numFmtId="44" fontId="1" fillId="0" borderId="0" applyFont="0" applyFill="0" applyBorder="0" applyAlignment="0" applyProtection="0"/>
  </cellStyleXfs>
  <cellXfs count="162">
    <xf numFmtId="0" fontId="0" fillId="0" borderId="0" xfId="0"/>
    <xf numFmtId="0" fontId="3" fillId="0" borderId="0" xfId="0" applyFont="1"/>
    <xf numFmtId="9" fontId="0" fillId="2" borderId="1" xfId="1" applyFont="1" applyFill="1" applyBorder="1"/>
    <xf numFmtId="164" fontId="0" fillId="2" borderId="1" xfId="0" applyNumberFormat="1" applyFill="1" applyBorder="1"/>
    <xf numFmtId="0" fontId="0" fillId="0" borderId="0" xfId="0" applyFont="1"/>
    <xf numFmtId="9" fontId="0" fillId="2" borderId="2" xfId="1" applyFont="1" applyFill="1" applyBorder="1"/>
    <xf numFmtId="0" fontId="0" fillId="3" borderId="0" xfId="0" applyFill="1"/>
    <xf numFmtId="0" fontId="5" fillId="3" borderId="0" xfId="2" applyFill="1"/>
    <xf numFmtId="164" fontId="0" fillId="3" borderId="2" xfId="0" applyNumberFormat="1" applyFill="1" applyBorder="1"/>
    <xf numFmtId="0" fontId="0" fillId="4" borderId="0" xfId="0" applyFill="1"/>
    <xf numFmtId="0" fontId="2" fillId="3" borderId="0" xfId="0" applyFont="1" applyFill="1"/>
    <xf numFmtId="0" fontId="0" fillId="3" borderId="0" xfId="0" applyFill="1" applyAlignment="1">
      <alignment horizontal="center"/>
    </xf>
    <xf numFmtId="0" fontId="4" fillId="3" borderId="0" xfId="0" applyFont="1" applyFill="1" applyAlignment="1">
      <alignment horizontal="right"/>
    </xf>
    <xf numFmtId="0" fontId="3" fillId="3" borderId="0" xfId="0" applyFont="1" applyFill="1"/>
    <xf numFmtId="0" fontId="2" fillId="3" borderId="0" xfId="0" applyFont="1" applyFill="1"/>
    <xf numFmtId="0" fontId="0" fillId="3" borderId="0" xfId="0" applyFill="1" applyBorder="1"/>
    <xf numFmtId="0" fontId="2" fillId="3" borderId="0" xfId="0" applyFont="1" applyFill="1" applyBorder="1"/>
    <xf numFmtId="0" fontId="8" fillId="3" borderId="0" xfId="0" applyFont="1" applyFill="1"/>
    <xf numFmtId="164" fontId="0" fillId="3" borderId="0" xfId="0" applyNumberFormat="1" applyFill="1" applyBorder="1"/>
    <xf numFmtId="0" fontId="0" fillId="3" borderId="0" xfId="0" applyFill="1" applyBorder="1" applyAlignment="1">
      <alignment horizontal="center"/>
    </xf>
    <xf numFmtId="0" fontId="4" fillId="3" borderId="0" xfId="0" applyFont="1" applyFill="1" applyBorder="1"/>
    <xf numFmtId="0" fontId="2" fillId="3" borderId="0" xfId="0" applyFont="1" applyFill="1"/>
    <xf numFmtId="0" fontId="8" fillId="3" borderId="0" xfId="0" applyFont="1" applyFill="1" applyAlignment="1">
      <alignment horizontal="center"/>
    </xf>
    <xf numFmtId="0" fontId="2" fillId="3" borderId="0" xfId="0" applyFont="1" applyFill="1"/>
    <xf numFmtId="164" fontId="0" fillId="3" borderId="0" xfId="0" applyNumberFormat="1" applyFont="1" applyFill="1"/>
    <xf numFmtId="49" fontId="0" fillId="3" borderId="0" xfId="0" applyNumberFormat="1" applyFill="1" applyBorder="1"/>
    <xf numFmtId="0" fontId="4" fillId="3" borderId="0" xfId="0" applyFont="1" applyFill="1"/>
    <xf numFmtId="0" fontId="10" fillId="3" borderId="0" xfId="0" applyFont="1" applyFill="1"/>
    <xf numFmtId="0" fontId="7" fillId="3" borderId="0" xfId="0" applyFont="1" applyFill="1" applyAlignment="1"/>
    <xf numFmtId="0" fontId="0" fillId="0" borderId="2" xfId="0" applyBorder="1"/>
    <xf numFmtId="0" fontId="8" fillId="3" borderId="0" xfId="0" applyFont="1" applyFill="1" applyBorder="1"/>
    <xf numFmtId="10" fontId="8" fillId="3" borderId="0" xfId="1" applyNumberFormat="1" applyFont="1" applyFill="1" applyBorder="1"/>
    <xf numFmtId="3" fontId="8" fillId="3" borderId="0" xfId="0" applyNumberFormat="1" applyFont="1" applyFill="1" applyBorder="1"/>
    <xf numFmtId="0" fontId="0" fillId="3" borderId="0" xfId="0" applyFont="1" applyFill="1"/>
    <xf numFmtId="0" fontId="3" fillId="3" borderId="0" xfId="0" applyFont="1" applyFill="1" applyAlignment="1">
      <alignment horizontal="center"/>
    </xf>
    <xf numFmtId="0" fontId="2" fillId="3" borderId="0" xfId="0" applyFont="1" applyFill="1"/>
    <xf numFmtId="0" fontId="4" fillId="3" borderId="0" xfId="0" applyFont="1" applyFill="1" applyAlignment="1">
      <alignment horizontal="center"/>
    </xf>
    <xf numFmtId="0" fontId="2" fillId="3" borderId="0" xfId="0" applyFont="1" applyFill="1"/>
    <xf numFmtId="9" fontId="8" fillId="3" borderId="0" xfId="0" applyNumberFormat="1" applyFont="1" applyFill="1" applyBorder="1"/>
    <xf numFmtId="0" fontId="2" fillId="3" borderId="0" xfId="0" applyFont="1" applyFill="1" applyAlignment="1">
      <alignment horizontal="right"/>
    </xf>
    <xf numFmtId="0" fontId="2" fillId="3" borderId="0" xfId="0" applyFont="1" applyFill="1"/>
    <xf numFmtId="1" fontId="0" fillId="3" borderId="0" xfId="0" applyNumberFormat="1" applyFill="1" applyBorder="1"/>
    <xf numFmtId="0" fontId="0" fillId="3" borderId="0" xfId="0" applyFill="1" applyAlignment="1">
      <alignment horizontal="left"/>
    </xf>
    <xf numFmtId="0" fontId="0" fillId="3" borderId="0" xfId="0" applyFont="1" applyFill="1" applyAlignment="1">
      <alignment horizontal="left"/>
    </xf>
    <xf numFmtId="0" fontId="2" fillId="3" borderId="0" xfId="0" applyFont="1" applyFill="1"/>
    <xf numFmtId="0" fontId="11" fillId="3" borderId="0" xfId="0" applyFont="1" applyFill="1"/>
    <xf numFmtId="0" fontId="2" fillId="3" borderId="0" xfId="0" applyFont="1" applyFill="1"/>
    <xf numFmtId="49" fontId="8" fillId="3" borderId="0" xfId="0" applyNumberFormat="1" applyFont="1" applyFill="1" applyBorder="1"/>
    <xf numFmtId="49" fontId="0" fillId="3" borderId="0" xfId="0" applyNumberFormat="1" applyFill="1" applyBorder="1" applyProtection="1">
      <protection locked="0"/>
    </xf>
    <xf numFmtId="0" fontId="9" fillId="3" borderId="0" xfId="0" applyFont="1" applyFill="1"/>
    <xf numFmtId="0" fontId="2" fillId="3" borderId="0" xfId="0" applyFont="1" applyFill="1"/>
    <xf numFmtId="0" fontId="0" fillId="3" borderId="0" xfId="0" applyNumberFormat="1" applyFill="1"/>
    <xf numFmtId="0" fontId="0" fillId="3" borderId="0" xfId="0" applyNumberFormat="1" applyFill="1" applyBorder="1" applyAlignment="1">
      <alignment horizontal="center" wrapText="1"/>
    </xf>
    <xf numFmtId="0" fontId="0" fillId="3" borderId="0" xfId="0" applyNumberFormat="1" applyFill="1" applyAlignment="1">
      <alignment horizontal="center" wrapText="1"/>
    </xf>
    <xf numFmtId="0" fontId="0" fillId="3" borderId="0" xfId="0" applyNumberFormat="1" applyFont="1" applyFill="1" applyAlignment="1">
      <alignment horizontal="center" wrapText="1"/>
    </xf>
    <xf numFmtId="0" fontId="10" fillId="3" borderId="0" xfId="0" applyNumberFormat="1" applyFont="1" applyFill="1" applyAlignment="1">
      <alignment horizontal="center" wrapText="1"/>
    </xf>
    <xf numFmtId="166" fontId="8" fillId="3" borderId="0" xfId="0" applyNumberFormat="1" applyFont="1" applyFill="1" applyBorder="1"/>
    <xf numFmtId="0" fontId="2" fillId="3" borderId="0" xfId="0" applyFont="1" applyFill="1"/>
    <xf numFmtId="0" fontId="0" fillId="4" borderId="2" xfId="0" applyFill="1" applyBorder="1" applyProtection="1">
      <protection locked="0"/>
    </xf>
    <xf numFmtId="166" fontId="0" fillId="3" borderId="0" xfId="0" applyNumberFormat="1" applyFill="1"/>
    <xf numFmtId="166" fontId="0" fillId="2" borderId="1" xfId="0" applyNumberFormat="1" applyFill="1" applyBorder="1"/>
    <xf numFmtId="166" fontId="0" fillId="3" borderId="0" xfId="0" applyNumberFormat="1" applyFill="1" applyAlignment="1">
      <alignment horizontal="center"/>
    </xf>
    <xf numFmtId="166" fontId="0" fillId="2" borderId="2" xfId="0" applyNumberFormat="1" applyFill="1" applyBorder="1"/>
    <xf numFmtId="167" fontId="8" fillId="3" borderId="0" xfId="1" applyNumberFormat="1" applyFont="1" applyFill="1" applyBorder="1"/>
    <xf numFmtId="166" fontId="0" fillId="3" borderId="0" xfId="0" applyNumberFormat="1" applyFont="1" applyFill="1"/>
    <xf numFmtId="0" fontId="0" fillId="2" borderId="2" xfId="0" applyFill="1" applyBorder="1"/>
    <xf numFmtId="3" fontId="8" fillId="3" borderId="0" xfId="0" applyNumberFormat="1" applyFont="1" applyFill="1" applyBorder="1" applyProtection="1">
      <protection locked="0"/>
    </xf>
    <xf numFmtId="166" fontId="8" fillId="3" borderId="0" xfId="0" applyNumberFormat="1" applyFont="1" applyFill="1" applyBorder="1" applyProtection="1">
      <protection locked="0"/>
    </xf>
    <xf numFmtId="165" fontId="8" fillId="3" borderId="0" xfId="0" applyNumberFormat="1" applyFont="1" applyFill="1" applyBorder="1" applyProtection="1">
      <protection locked="0"/>
    </xf>
    <xf numFmtId="164" fontId="8" fillId="3" borderId="0" xfId="0" applyNumberFormat="1" applyFont="1" applyFill="1" applyBorder="1" applyProtection="1">
      <protection locked="0"/>
    </xf>
    <xf numFmtId="10" fontId="8" fillId="3" borderId="0" xfId="1" applyNumberFormat="1" applyFont="1" applyFill="1" applyBorder="1" applyProtection="1">
      <protection locked="0"/>
    </xf>
    <xf numFmtId="164" fontId="0" fillId="3" borderId="0" xfId="0" applyNumberFormat="1" applyFill="1" applyBorder="1" applyProtection="1">
      <protection locked="0"/>
    </xf>
    <xf numFmtId="10" fontId="0" fillId="3" borderId="0" xfId="0" applyNumberFormat="1" applyFill="1" applyBorder="1" applyProtection="1">
      <protection locked="0"/>
    </xf>
    <xf numFmtId="0" fontId="0" fillId="3" borderId="0" xfId="0" applyNumberFormat="1" applyFill="1" applyBorder="1" applyAlignment="1" applyProtection="1">
      <alignment horizontal="right"/>
      <protection locked="0"/>
    </xf>
    <xf numFmtId="3" fontId="0" fillId="3" borderId="0" xfId="0" applyNumberFormat="1" applyFill="1" applyBorder="1" applyProtection="1">
      <protection locked="0"/>
    </xf>
    <xf numFmtId="1" fontId="0" fillId="3" borderId="0" xfId="0" applyNumberFormat="1" applyFill="1" applyBorder="1" applyProtection="1">
      <protection locked="0"/>
    </xf>
    <xf numFmtId="1" fontId="8" fillId="3" borderId="0" xfId="0" applyNumberFormat="1" applyFont="1" applyFill="1" applyBorder="1" applyAlignment="1" applyProtection="1">
      <alignment horizontal="right"/>
    </xf>
    <xf numFmtId="0" fontId="8" fillId="3" borderId="0" xfId="0" applyNumberFormat="1" applyFont="1" applyFill="1" applyBorder="1" applyAlignment="1" applyProtection="1">
      <alignment horizontal="right"/>
    </xf>
    <xf numFmtId="9" fontId="8" fillId="3" borderId="0" xfId="0" applyNumberFormat="1" applyFont="1" applyFill="1" applyBorder="1" applyProtection="1">
      <protection locked="0"/>
    </xf>
    <xf numFmtId="1" fontId="8" fillId="3" borderId="0" xfId="0" applyNumberFormat="1" applyFont="1" applyFill="1" applyBorder="1" applyProtection="1">
      <protection locked="0"/>
    </xf>
    <xf numFmtId="166" fontId="0" fillId="4" borderId="2" xfId="0" applyNumberFormat="1" applyFill="1" applyBorder="1" applyProtection="1">
      <protection locked="0"/>
    </xf>
    <xf numFmtId="9" fontId="0" fillId="4" borderId="2" xfId="1" applyFont="1" applyFill="1" applyBorder="1" applyProtection="1">
      <protection locked="0"/>
    </xf>
    <xf numFmtId="166" fontId="0" fillId="3" borderId="0" xfId="0" applyNumberFormat="1" applyFill="1" applyProtection="1">
      <protection locked="0"/>
    </xf>
    <xf numFmtId="10" fontId="0" fillId="3" borderId="0" xfId="0" applyNumberFormat="1" applyFill="1" applyProtection="1">
      <protection locked="0"/>
    </xf>
    <xf numFmtId="10" fontId="0" fillId="3" borderId="0" xfId="1" applyNumberFormat="1" applyFont="1" applyFill="1" applyProtection="1">
      <protection locked="0"/>
    </xf>
    <xf numFmtId="0" fontId="8" fillId="3" borderId="0" xfId="0" applyFont="1" applyFill="1" applyBorder="1" applyProtection="1">
      <protection locked="0"/>
    </xf>
    <xf numFmtId="0" fontId="12" fillId="3" borderId="0" xfId="0" applyFont="1" applyFill="1" applyAlignment="1">
      <alignment horizontal="center" vertical="center" wrapText="1"/>
    </xf>
    <xf numFmtId="0" fontId="2" fillId="3" borderId="0" xfId="0" applyFont="1" applyFill="1" applyAlignment="1">
      <alignment vertical="center"/>
    </xf>
    <xf numFmtId="0" fontId="0" fillId="3" borderId="0" xfId="0" applyFill="1" applyAlignment="1">
      <alignment vertical="center"/>
    </xf>
    <xf numFmtId="166" fontId="0" fillId="2" borderId="1" xfId="0" applyNumberFormat="1" applyFill="1" applyBorder="1" applyProtection="1"/>
    <xf numFmtId="3" fontId="0" fillId="3" borderId="0" xfId="0" applyNumberFormat="1" applyFill="1"/>
    <xf numFmtId="166" fontId="0" fillId="3" borderId="0" xfId="0" applyNumberFormat="1" applyFill="1" applyBorder="1" applyProtection="1">
      <protection locked="0"/>
    </xf>
    <xf numFmtId="0" fontId="0" fillId="4" borderId="2" xfId="0" applyFill="1" applyBorder="1" applyAlignment="1" applyProtection="1">
      <alignment horizontal="right"/>
      <protection locked="0"/>
    </xf>
    <xf numFmtId="0" fontId="0" fillId="3" borderId="0" xfId="0" applyFill="1" applyAlignment="1" applyProtection="1">
      <alignment wrapText="1"/>
      <protection locked="0"/>
    </xf>
    <xf numFmtId="0" fontId="6" fillId="4" borderId="0" xfId="0" applyFont="1" applyFill="1" applyBorder="1" applyAlignment="1">
      <alignment vertical="center"/>
    </xf>
    <xf numFmtId="0" fontId="2" fillId="3" borderId="0" xfId="0" applyFont="1" applyFill="1"/>
    <xf numFmtId="0" fontId="4" fillId="3" borderId="0" xfId="0" applyFont="1" applyFill="1" applyProtection="1">
      <protection locked="0"/>
    </xf>
    <xf numFmtId="0" fontId="0" fillId="3" borderId="0" xfId="0" applyFill="1" applyProtection="1">
      <protection locked="0"/>
    </xf>
    <xf numFmtId="0" fontId="8" fillId="3" borderId="0" xfId="0" applyFont="1" applyFill="1" applyAlignment="1">
      <alignment horizontal="center"/>
    </xf>
    <xf numFmtId="0" fontId="0" fillId="5" borderId="0" xfId="0" applyFill="1" applyAlignment="1">
      <alignment vertical="top" wrapText="1"/>
    </xf>
    <xf numFmtId="0" fontId="0" fillId="5" borderId="0" xfId="0" applyFill="1"/>
    <xf numFmtId="0" fontId="0" fillId="3" borderId="0" xfId="0" applyFill="1" applyBorder="1" applyProtection="1">
      <protection locked="0"/>
    </xf>
    <xf numFmtId="0" fontId="8" fillId="3" borderId="0" xfId="0" applyFont="1" applyFill="1" applyAlignment="1">
      <alignment horizontal="center" wrapText="1"/>
    </xf>
    <xf numFmtId="9" fontId="8" fillId="3" borderId="0" xfId="1" applyFont="1" applyFill="1" applyBorder="1"/>
    <xf numFmtId="0" fontId="6" fillId="4" borderId="0" xfId="0" applyFont="1" applyFill="1" applyBorder="1" applyAlignment="1">
      <alignment vertical="center"/>
    </xf>
    <xf numFmtId="167" fontId="8" fillId="3" borderId="0" xfId="1" applyNumberFormat="1" applyFont="1" applyFill="1" applyBorder="1" applyProtection="1">
      <protection locked="0"/>
    </xf>
    <xf numFmtId="0" fontId="2" fillId="3" borderId="0" xfId="0" applyFont="1" applyFill="1"/>
    <xf numFmtId="0" fontId="0" fillId="3" borderId="3" xfId="0" applyFill="1" applyBorder="1"/>
    <xf numFmtId="0" fontId="0" fillId="3" borderId="0" xfId="0" applyFont="1" applyFill="1" applyBorder="1"/>
    <xf numFmtId="0" fontId="16" fillId="3" borderId="0" xfId="2" applyFont="1" applyFill="1" applyAlignment="1"/>
    <xf numFmtId="0" fontId="0" fillId="5" borderId="0" xfId="0" applyFill="1" applyAlignment="1">
      <alignment vertical="center" wrapText="1"/>
    </xf>
    <xf numFmtId="0" fontId="2" fillId="3" borderId="0" xfId="0" applyFont="1" applyFill="1"/>
    <xf numFmtId="166" fontId="0" fillId="2" borderId="2" xfId="0" applyNumberFormat="1" applyFill="1" applyBorder="1" applyProtection="1"/>
    <xf numFmtId="0" fontId="19" fillId="3" borderId="0" xfId="0" applyFont="1" applyFill="1" applyAlignment="1">
      <alignment horizontal="left"/>
    </xf>
    <xf numFmtId="166" fontId="0" fillId="2" borderId="1" xfId="0" applyNumberFormat="1" applyFont="1" applyFill="1" applyBorder="1" applyProtection="1"/>
    <xf numFmtId="166" fontId="0" fillId="2" borderId="0" xfId="0" applyNumberFormat="1" applyFill="1" applyBorder="1"/>
    <xf numFmtId="9" fontId="0" fillId="2" borderId="0" xfId="1" applyFont="1" applyFill="1" applyBorder="1"/>
    <xf numFmtId="0" fontId="20" fillId="3" borderId="0" xfId="0" applyFont="1" applyFill="1" applyBorder="1"/>
    <xf numFmtId="0" fontId="21" fillId="7" borderId="0" xfId="0" applyFont="1" applyFill="1"/>
    <xf numFmtId="8" fontId="21" fillId="7" borderId="0" xfId="0" applyNumberFormat="1" applyFont="1" applyFill="1"/>
    <xf numFmtId="44" fontId="21" fillId="7" borderId="0" xfId="0" applyNumberFormat="1" applyFont="1" applyFill="1"/>
    <xf numFmtId="0" fontId="22" fillId="7" borderId="0" xfId="0" applyFont="1" applyFill="1"/>
    <xf numFmtId="44" fontId="21" fillId="6" borderId="2" xfId="3" applyFont="1" applyFill="1" applyBorder="1"/>
    <xf numFmtId="10" fontId="21" fillId="6" borderId="2" xfId="1" applyNumberFormat="1" applyFont="1" applyFill="1" applyBorder="1" applyAlignment="1">
      <alignment horizontal="center"/>
    </xf>
    <xf numFmtId="0" fontId="21" fillId="6" borderId="2" xfId="0" applyFont="1" applyFill="1" applyBorder="1" applyAlignment="1">
      <alignment horizontal="center"/>
    </xf>
    <xf numFmtId="0" fontId="21" fillId="7" borderId="4" xfId="0" applyFont="1" applyFill="1" applyBorder="1"/>
    <xf numFmtId="168" fontId="24" fillId="3" borderId="1" xfId="3" applyNumberFormat="1" applyFont="1" applyFill="1" applyBorder="1"/>
    <xf numFmtId="0" fontId="25" fillId="7" borderId="0" xfId="0" applyFont="1" applyFill="1"/>
    <xf numFmtId="8" fontId="0" fillId="0" borderId="0" xfId="0" applyNumberFormat="1"/>
    <xf numFmtId="0" fontId="2" fillId="3" borderId="0" xfId="0" applyFont="1" applyFill="1" applyAlignment="1">
      <alignment vertical="center" wrapText="1"/>
    </xf>
    <xf numFmtId="0" fontId="0" fillId="3" borderId="0" xfId="0" applyFill="1" applyAlignment="1">
      <alignment vertical="center" wrapText="1"/>
    </xf>
    <xf numFmtId="0" fontId="0" fillId="3" borderId="0" xfId="0" applyFill="1" applyAlignment="1">
      <alignment horizontal="center" vertical="center" wrapText="1"/>
    </xf>
    <xf numFmtId="0" fontId="2" fillId="3" borderId="0" xfId="0" applyFont="1" applyFill="1"/>
    <xf numFmtId="0" fontId="0" fillId="3" borderId="5" xfId="0" applyFill="1" applyBorder="1"/>
    <xf numFmtId="0" fontId="2" fillId="3" borderId="0" xfId="0" applyFont="1" applyFill="1"/>
    <xf numFmtId="0" fontId="0" fillId="3" borderId="0" xfId="0" applyFont="1" applyFill="1" applyProtection="1">
      <protection locked="0"/>
    </xf>
    <xf numFmtId="0" fontId="10" fillId="3" borderId="0" xfId="0" applyFont="1" applyFill="1" applyProtection="1">
      <protection locked="0"/>
    </xf>
    <xf numFmtId="0" fontId="0" fillId="3" borderId="0" xfId="0" applyFill="1" applyBorder="1"/>
    <xf numFmtId="0" fontId="5" fillId="3" borderId="0" xfId="2" applyFill="1" applyProtection="1"/>
    <xf numFmtId="0" fontId="7" fillId="3" borderId="0" xfId="0" applyFont="1" applyFill="1" applyAlignment="1">
      <alignment horizontal="center"/>
    </xf>
    <xf numFmtId="0" fontId="18" fillId="3" borderId="0" xfId="0" applyFont="1" applyFill="1" applyAlignment="1">
      <alignment horizontal="center"/>
    </xf>
    <xf numFmtId="0" fontId="0" fillId="5" borderId="0" xfId="0" applyFill="1" applyAlignment="1">
      <alignment horizontal="left" vertical="center" wrapText="1"/>
    </xf>
    <xf numFmtId="0" fontId="0" fillId="0" borderId="0" xfId="0" applyAlignment="1">
      <alignment horizontal="left" wrapText="1"/>
    </xf>
    <xf numFmtId="0" fontId="0" fillId="5" borderId="0" xfId="0" applyFill="1" applyAlignment="1">
      <alignment horizontal="left" wrapText="1"/>
    </xf>
    <xf numFmtId="0" fontId="6" fillId="4" borderId="0" xfId="0" applyFont="1" applyFill="1" applyBorder="1" applyAlignment="1">
      <alignment vertical="center"/>
    </xf>
    <xf numFmtId="0" fontId="0" fillId="4" borderId="0" xfId="0" applyFill="1" applyAlignment="1">
      <alignment horizontal="center"/>
    </xf>
    <xf numFmtId="0" fontId="0" fillId="3" borderId="0" xfId="0" applyFill="1" applyBorder="1"/>
    <xf numFmtId="0" fontId="0" fillId="0" borderId="0" xfId="0" applyFill="1" applyAlignment="1">
      <alignment vertical="top" wrapText="1"/>
    </xf>
    <xf numFmtId="0" fontId="6" fillId="3" borderId="0" xfId="0" applyFont="1" applyFill="1" applyAlignment="1" applyProtection="1">
      <alignment horizontal="center" vertical="center" wrapText="1"/>
    </xf>
    <xf numFmtId="0" fontId="0" fillId="3" borderId="0" xfId="0" applyFill="1" applyBorder="1" applyProtection="1">
      <protection locked="0"/>
    </xf>
    <xf numFmtId="0" fontId="11" fillId="3" borderId="0" xfId="0" applyFont="1" applyFill="1"/>
    <xf numFmtId="0" fontId="9" fillId="3" borderId="0" xfId="0" applyFont="1" applyFill="1"/>
    <xf numFmtId="0" fontId="6" fillId="3" borderId="0" xfId="0" applyFont="1" applyFill="1" applyAlignment="1">
      <alignment horizontal="center" vertical="center" wrapText="1"/>
    </xf>
    <xf numFmtId="0" fontId="8" fillId="3" borderId="0" xfId="0" applyFont="1" applyFill="1" applyAlignment="1">
      <alignment horizontal="center"/>
    </xf>
    <xf numFmtId="0" fontId="6" fillId="3" borderId="0" xfId="0" applyFont="1" applyFill="1" applyAlignment="1">
      <alignment horizontal="center" wrapText="1"/>
    </xf>
    <xf numFmtId="0" fontId="13" fillId="3" borderId="0" xfId="0" applyFont="1" applyFill="1" applyAlignment="1">
      <alignment horizontal="center" wrapText="1"/>
    </xf>
    <xf numFmtId="0" fontId="9" fillId="3" borderId="0" xfId="0" applyFont="1" applyFill="1" applyProtection="1">
      <protection locked="0"/>
    </xf>
    <xf numFmtId="0" fontId="2" fillId="3" borderId="0" xfId="0" applyFont="1" applyFill="1" applyAlignment="1">
      <alignment horizontal="left"/>
    </xf>
    <xf numFmtId="0" fontId="2" fillId="3" borderId="0" xfId="0" applyFont="1" applyFill="1"/>
    <xf numFmtId="0" fontId="4" fillId="3" borderId="0" xfId="0" quotePrefix="1" applyFont="1" applyFill="1" applyAlignment="1">
      <alignment horizontal="center" vertical="center" wrapText="1"/>
    </xf>
    <xf numFmtId="0" fontId="2" fillId="3" borderId="0" xfId="0" applyFont="1" applyFill="1" applyAlignment="1">
      <alignment horizontal="center" vertical="center" wrapText="1"/>
    </xf>
    <xf numFmtId="0" fontId="23" fillId="7" borderId="0" xfId="2" applyFont="1" applyFill="1" applyAlignment="1">
      <alignment horizontal="center"/>
    </xf>
  </cellXfs>
  <cellStyles count="4">
    <cellStyle name="Currency" xfId="3" builtinId="4"/>
    <cellStyle name="Hyperlink" xfId="2" builtinId="8"/>
    <cellStyle name="Normal" xfId="0" builtinId="0"/>
    <cellStyle name="Percent" xfId="1" builtinId="5"/>
  </cellStyles>
  <dxfs count="1026">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1"/>
      </font>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color theme="1"/>
      </font>
    </dxf>
    <dxf>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6" tint="0.79998168889431442"/>
      </font>
    </dxf>
    <dxf>
      <font>
        <color theme="6" tint="0.79998168889431442"/>
      </font>
    </dxf>
    <dxf>
      <font>
        <color theme="6" tint="0.79998168889431442"/>
      </font>
    </dxf>
    <dxf>
      <font>
        <color theme="6" tint="0.79998168889431442"/>
      </font>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ill>
        <patternFill>
          <bgColor theme="6" tint="0.79998168889431442"/>
        </patternFill>
      </fill>
      <border>
        <left/>
        <right/>
        <top/>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color theme="1"/>
      </font>
    </dxf>
    <dxf>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6" tint="0.79998168889431442"/>
        </patternFill>
      </fill>
      <border>
        <left/>
        <right/>
        <top/>
        <bottom/>
        <vertical/>
        <horizontal/>
      </border>
    </dxf>
    <dxf>
      <font>
        <color theme="6" tint="0.79998168889431442"/>
      </font>
    </dxf>
    <dxf>
      <fill>
        <patternFill>
          <bgColor theme="6" tint="0.79998168889431442"/>
        </patternFill>
      </fill>
      <border>
        <left/>
        <right/>
        <top/>
        <bottom/>
      </border>
    </dxf>
    <dxf>
      <font>
        <color theme="6" tint="0.79998168889431442"/>
      </font>
    </dxf>
    <dxf>
      <fill>
        <patternFill>
          <bgColor theme="6" tint="0.79998168889431442"/>
        </patternFill>
      </fill>
      <border>
        <left/>
        <right/>
        <top/>
        <bottom/>
        <vertical/>
        <horizontal/>
      </border>
    </dxf>
    <dxf>
      <font>
        <color theme="6" tint="0.79998168889431442"/>
      </font>
    </dxf>
    <dxf>
      <fill>
        <patternFill>
          <bgColor theme="6" tint="0.79998168889431442"/>
        </patternFill>
      </fill>
      <border>
        <left/>
        <right/>
        <top/>
        <bottom/>
        <vertical/>
        <horizontal/>
      </border>
    </dxf>
    <dxf>
      <font>
        <color theme="6" tint="0.79998168889431442"/>
      </font>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color theme="1"/>
      </font>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color theme="1"/>
      </font>
    </dxf>
    <dxf>
      <font>
        <color theme="1"/>
      </font>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4" tint="0.79998168889431442"/>
        </patternFill>
      </fill>
      <border>
        <left style="thin">
          <color auto="1"/>
        </left>
        <right style="thin">
          <color auto="1"/>
        </right>
        <top style="thin">
          <color auto="1"/>
        </top>
        <bottom style="thin">
          <color auto="1"/>
        </bottom>
        <vertical/>
        <horizontal/>
      </border>
    </dxf>
    <dxf>
      <font>
        <color theme="1"/>
      </font>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fill>
        <patternFill>
          <bgColor theme="5" tint="0.79998168889431442"/>
        </patternFill>
      </fill>
      <border>
        <left style="thin">
          <color auto="1"/>
        </left>
        <right style="thin">
          <color auto="1"/>
        </right>
        <top style="thin">
          <color auto="1"/>
        </top>
        <bottom style="thin">
          <color auto="1"/>
        </bottom>
        <vertical/>
        <horizontal/>
      </border>
    </dxf>
    <dxf>
      <font>
        <color theme="1"/>
      </font>
    </dxf>
    <dxf>
      <font>
        <color theme="6" tint="0.79998168889431442"/>
      </font>
      <fill>
        <patternFill>
          <bgColor theme="6" tint="0.79998168889431442"/>
        </patternFill>
      </fill>
      <border>
        <left/>
        <right/>
        <top/>
        <bottom/>
        <vertical/>
        <horizontal/>
      </border>
    </dxf>
    <dxf>
      <font>
        <color theme="6" tint="0.79998168889431442"/>
      </font>
    </dxf>
    <dxf>
      <font>
        <color rgb="FF00B050"/>
      </font>
    </dxf>
    <dxf>
      <font>
        <color rgb="FFFF0000"/>
      </font>
    </dxf>
    <dxf>
      <font>
        <color theme="6" tint="0.79998168889431442"/>
      </font>
      <fill>
        <patternFill>
          <bgColor theme="6" tint="0.79998168889431442"/>
        </patternFill>
      </fill>
      <border>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rgb="FFC00000"/>
      </font>
    </dxf>
    <dxf>
      <font>
        <b/>
        <i val="0"/>
        <color rgb="FFC00000"/>
      </font>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1"/>
      </font>
    </dxf>
    <dxf>
      <font>
        <color auto="1"/>
      </font>
      <fill>
        <patternFill>
          <bgColor theme="4"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32950273107753"/>
          <c:y val="5.1445572857722263E-2"/>
          <c:w val="0.39952151259360602"/>
          <c:h val="0.75004337350505024"/>
        </c:manualLayout>
      </c:layout>
      <c:barChart>
        <c:barDir val="col"/>
        <c:grouping val="stacked"/>
        <c:varyColors val="0"/>
        <c:ser>
          <c:idx val="5"/>
          <c:order val="0"/>
          <c:tx>
            <c:strRef>
              <c:f>Dashboard!$B$26</c:f>
              <c:strCache>
                <c:ptCount val="1"/>
                <c:pt idx="0">
                  <c:v>Other Funding Sources</c:v>
                </c:pt>
              </c:strCache>
            </c:strRef>
          </c:tx>
          <c:invertIfNegative val="0"/>
          <c:val>
            <c:numRef>
              <c:f>(Dashboard!$H$2,Dashboard!$C$26)</c:f>
              <c:numCache>
                <c:formatCode>"$"#,##0</c:formatCode>
                <c:ptCount val="2"/>
                <c:pt idx="0" formatCode="General">
                  <c:v>0</c:v>
                </c:pt>
                <c:pt idx="1">
                  <c:v>0</c:v>
                </c:pt>
              </c:numCache>
            </c:numRef>
          </c:val>
        </c:ser>
        <c:ser>
          <c:idx val="6"/>
          <c:order val="1"/>
          <c:tx>
            <c:strRef>
              <c:f>Dashboard!$B$25</c:f>
              <c:strCache>
                <c:ptCount val="1"/>
                <c:pt idx="0">
                  <c:v>Grants</c:v>
                </c:pt>
              </c:strCache>
            </c:strRef>
          </c:tx>
          <c:invertIfNegative val="0"/>
          <c:val>
            <c:numRef>
              <c:f>(Dashboard!$H$2,Dashboard!$C$25)</c:f>
              <c:numCache>
                <c:formatCode>"$"#,##0</c:formatCode>
                <c:ptCount val="2"/>
                <c:pt idx="0" formatCode="General">
                  <c:v>0</c:v>
                </c:pt>
                <c:pt idx="1">
                  <c:v>0</c:v>
                </c:pt>
              </c:numCache>
            </c:numRef>
          </c:val>
        </c:ser>
        <c:ser>
          <c:idx val="7"/>
          <c:order val="2"/>
          <c:tx>
            <c:strRef>
              <c:f>Dashboard!$B$24</c:f>
              <c:strCache>
                <c:ptCount val="1"/>
                <c:pt idx="0">
                  <c:v>Permit Fees</c:v>
                </c:pt>
              </c:strCache>
            </c:strRef>
          </c:tx>
          <c:invertIfNegative val="0"/>
          <c:val>
            <c:numRef>
              <c:f>(Dashboard!$H$2,Dashboard!$C$24)</c:f>
              <c:numCache>
                <c:formatCode>"$"#,##0</c:formatCode>
                <c:ptCount val="2"/>
                <c:pt idx="0" formatCode="General">
                  <c:v>0</c:v>
                </c:pt>
                <c:pt idx="1">
                  <c:v>0</c:v>
                </c:pt>
              </c:numCache>
            </c:numRef>
          </c:val>
        </c:ser>
        <c:ser>
          <c:idx val="8"/>
          <c:order val="3"/>
          <c:tx>
            <c:strRef>
              <c:f>Dashboard!$B$23</c:f>
              <c:strCache>
                <c:ptCount val="1"/>
                <c:pt idx="0">
                  <c:v>Flood Control Zone Fees</c:v>
                </c:pt>
              </c:strCache>
            </c:strRef>
          </c:tx>
          <c:invertIfNegative val="0"/>
          <c:val>
            <c:numRef>
              <c:f>(Dashboard!$H$2,Dashboard!$C$23)</c:f>
              <c:numCache>
                <c:formatCode>"$"#,##0</c:formatCode>
                <c:ptCount val="2"/>
                <c:pt idx="0" formatCode="General">
                  <c:v>0</c:v>
                </c:pt>
                <c:pt idx="1">
                  <c:v>0</c:v>
                </c:pt>
              </c:numCache>
            </c:numRef>
          </c:val>
        </c:ser>
        <c:ser>
          <c:idx val="4"/>
          <c:order val="4"/>
          <c:tx>
            <c:strRef>
              <c:f>Dashboard!$B$22</c:f>
              <c:strCache>
                <c:ptCount val="1"/>
                <c:pt idx="0">
                  <c:v>Stormwater &amp; Water Quality Fees</c:v>
                </c:pt>
              </c:strCache>
            </c:strRef>
          </c:tx>
          <c:invertIfNegative val="0"/>
          <c:val>
            <c:numRef>
              <c:f>(Dashboard!$H$2,Dashboard!$C$22)</c:f>
              <c:numCache>
                <c:formatCode>"$"#,##0</c:formatCode>
                <c:ptCount val="2"/>
                <c:pt idx="0" formatCode="General">
                  <c:v>0</c:v>
                </c:pt>
                <c:pt idx="1">
                  <c:v>0</c:v>
                </c:pt>
              </c:numCache>
            </c:numRef>
          </c:val>
        </c:ser>
        <c:ser>
          <c:idx val="9"/>
          <c:order val="5"/>
          <c:tx>
            <c:strRef>
              <c:f>Dashboard!$B$21</c:f>
              <c:strCache>
                <c:ptCount val="1"/>
                <c:pt idx="0">
                  <c:v>Wastewater Revenue</c:v>
                </c:pt>
              </c:strCache>
            </c:strRef>
          </c:tx>
          <c:invertIfNegative val="0"/>
          <c:val>
            <c:numRef>
              <c:f>(Dashboard!$H$2,Dashboard!$C$21)</c:f>
              <c:numCache>
                <c:formatCode>"$"#,##0</c:formatCode>
                <c:ptCount val="2"/>
                <c:pt idx="0" formatCode="General">
                  <c:v>0</c:v>
                </c:pt>
                <c:pt idx="1">
                  <c:v>0</c:v>
                </c:pt>
              </c:numCache>
            </c:numRef>
          </c:val>
        </c:ser>
        <c:ser>
          <c:idx val="2"/>
          <c:order val="6"/>
          <c:tx>
            <c:strRef>
              <c:f>Dashboard!$B$20</c:f>
              <c:strCache>
                <c:ptCount val="1"/>
                <c:pt idx="0">
                  <c:v>Water Revenue</c:v>
                </c:pt>
              </c:strCache>
            </c:strRef>
          </c:tx>
          <c:invertIfNegative val="0"/>
          <c:val>
            <c:numRef>
              <c:f>(Dashboard!$H$2,Dashboard!$C$20)</c:f>
              <c:numCache>
                <c:formatCode>"$"#,##0</c:formatCode>
                <c:ptCount val="2"/>
                <c:pt idx="0" formatCode="General">
                  <c:v>0</c:v>
                </c:pt>
                <c:pt idx="1">
                  <c:v>0</c:v>
                </c:pt>
              </c:numCache>
            </c:numRef>
          </c:val>
        </c:ser>
        <c:ser>
          <c:idx val="1"/>
          <c:order val="7"/>
          <c:tx>
            <c:strRef>
              <c:f>Dashboard!$B$19</c:f>
              <c:strCache>
                <c:ptCount val="1"/>
                <c:pt idx="0">
                  <c:v>Sales Taxes</c:v>
                </c:pt>
              </c:strCache>
            </c:strRef>
          </c:tx>
          <c:invertIfNegative val="0"/>
          <c:val>
            <c:numRef>
              <c:f>(Dashboard!$H$2,Dashboard!$C$19)</c:f>
              <c:numCache>
                <c:formatCode>"$"#,##0</c:formatCode>
                <c:ptCount val="2"/>
                <c:pt idx="0" formatCode="General">
                  <c:v>0</c:v>
                </c:pt>
                <c:pt idx="1">
                  <c:v>0</c:v>
                </c:pt>
              </c:numCache>
            </c:numRef>
          </c:val>
        </c:ser>
        <c:ser>
          <c:idx val="0"/>
          <c:order val="8"/>
          <c:tx>
            <c:strRef>
              <c:f>Dashboard!$B$18</c:f>
              <c:strCache>
                <c:ptCount val="1"/>
                <c:pt idx="0">
                  <c:v>Property Taxes</c:v>
                </c:pt>
              </c:strCache>
            </c:strRef>
          </c:tx>
          <c:invertIfNegative val="0"/>
          <c:cat>
            <c:strRef>
              <c:f>(Dashboard!$B$6,Dashboard!$B$15)</c:f>
              <c:strCache>
                <c:ptCount val="2"/>
                <c:pt idx="0">
                  <c:v>How Much Do I Need?</c:v>
                </c:pt>
                <c:pt idx="1">
                  <c:v>How Much Can I Raise?</c:v>
                </c:pt>
              </c:strCache>
            </c:strRef>
          </c:cat>
          <c:val>
            <c:numRef>
              <c:f>(Dashboard!$H$2,Dashboard!$C$18)</c:f>
              <c:numCache>
                <c:formatCode>"$"#,##0</c:formatCode>
                <c:ptCount val="2"/>
                <c:pt idx="0" formatCode="General">
                  <c:v>0</c:v>
                </c:pt>
                <c:pt idx="1">
                  <c:v>9500</c:v>
                </c:pt>
              </c:numCache>
            </c:numRef>
          </c:val>
        </c:ser>
        <c:ser>
          <c:idx val="3"/>
          <c:order val="9"/>
          <c:tx>
            <c:v>Total Needs</c:v>
          </c:tx>
          <c:spPr>
            <a:solidFill>
              <a:schemeClr val="accent2">
                <a:lumMod val="75000"/>
              </a:schemeClr>
            </a:solidFill>
          </c:spPr>
          <c:invertIfNegative val="0"/>
          <c:val>
            <c:numRef>
              <c:f>(Dashboard!$E$12,Dashboard!$H$2)</c:f>
              <c:numCache>
                <c:formatCode>General</c:formatCode>
                <c:ptCount val="2"/>
                <c:pt idx="0">
                  <c:v>94351.064965350364</c:v>
                </c:pt>
                <c:pt idx="1">
                  <c:v>0</c:v>
                </c:pt>
              </c:numCache>
            </c:numRef>
          </c:val>
        </c:ser>
        <c:dLbls>
          <c:showLegendKey val="0"/>
          <c:showVal val="0"/>
          <c:showCatName val="0"/>
          <c:showSerName val="0"/>
          <c:showPercent val="0"/>
          <c:showBubbleSize val="0"/>
        </c:dLbls>
        <c:gapWidth val="150"/>
        <c:overlap val="100"/>
        <c:axId val="99981184"/>
        <c:axId val="99982720"/>
      </c:barChart>
      <c:catAx>
        <c:axId val="99981184"/>
        <c:scaling>
          <c:orientation val="minMax"/>
        </c:scaling>
        <c:delete val="0"/>
        <c:axPos val="b"/>
        <c:majorTickMark val="out"/>
        <c:minorTickMark val="none"/>
        <c:tickLblPos val="nextTo"/>
        <c:txPr>
          <a:bodyPr/>
          <a:lstStyle/>
          <a:p>
            <a:pPr>
              <a:defRPr sz="1200"/>
            </a:pPr>
            <a:endParaRPr lang="en-US"/>
          </a:p>
        </c:txPr>
        <c:crossAx val="99982720"/>
        <c:crosses val="autoZero"/>
        <c:auto val="1"/>
        <c:lblAlgn val="ctr"/>
        <c:lblOffset val="100"/>
        <c:noMultiLvlLbl val="0"/>
      </c:catAx>
      <c:valAx>
        <c:axId val="99982720"/>
        <c:scaling>
          <c:orientation val="minMax"/>
        </c:scaling>
        <c:delete val="0"/>
        <c:axPos val="l"/>
        <c:majorGridlines/>
        <c:numFmt formatCode="&quot;$&quot;#,##0" sourceLinked="0"/>
        <c:majorTickMark val="out"/>
        <c:minorTickMark val="none"/>
        <c:tickLblPos val="nextTo"/>
        <c:txPr>
          <a:bodyPr/>
          <a:lstStyle/>
          <a:p>
            <a:pPr>
              <a:defRPr sz="1200"/>
            </a:pPr>
            <a:endParaRPr lang="en-US"/>
          </a:p>
        </c:txPr>
        <c:crossAx val="99981184"/>
        <c:crosses val="autoZero"/>
        <c:crossBetween val="between"/>
      </c:valAx>
    </c:plotArea>
    <c:legend>
      <c:legendPos val="r"/>
      <c:layout>
        <c:manualLayout>
          <c:xMode val="edge"/>
          <c:yMode val="edge"/>
          <c:x val="0.56823016020992312"/>
          <c:y val="2.7523217751080891E-2"/>
          <c:w val="0.31939433638882875"/>
          <c:h val="0.70915834034153546"/>
        </c:manualLayout>
      </c:layout>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 Contribution by Entity </a:t>
            </a:r>
          </a:p>
        </c:rich>
      </c:tx>
      <c:layout/>
      <c:overlay val="0"/>
    </c:title>
    <c:autoTitleDeleted val="0"/>
    <c:plotArea>
      <c:layout/>
      <c:pieChart>
        <c:varyColors val="1"/>
        <c:ser>
          <c:idx val="0"/>
          <c:order val="0"/>
          <c:tx>
            <c:strRef>
              <c:f>Dashboard!$E$38</c:f>
              <c:strCache>
                <c:ptCount val="1"/>
                <c:pt idx="0">
                  <c:v>Percent Contribution </c:v>
                </c:pt>
              </c:strCache>
            </c:strRef>
          </c:tx>
          <c:cat>
            <c:strRef>
              <c:f>Dashboard!$B$39:$B$48</c:f>
              <c:strCache>
                <c:ptCount val="6"/>
                <c:pt idx="0">
                  <c:v>Oxbow County</c:v>
                </c:pt>
                <c:pt idx="1">
                  <c:v>City of Pool</c:v>
                </c:pt>
                <c:pt idx="2">
                  <c:v>City of Riffle</c:v>
                </c:pt>
                <c:pt idx="3">
                  <c:v>Wishful Watershed Council</c:v>
                </c:pt>
                <c:pt idx="4">
                  <c:v>Council of Government</c:v>
                </c:pt>
                <c:pt idx="5">
                  <c:v>Soil &amp; Water Conservation</c:v>
                </c:pt>
              </c:strCache>
            </c:strRef>
          </c:cat>
          <c:val>
            <c:numRef>
              <c:f>Dashboard!$E$39:$E$48</c:f>
              <c:numCache>
                <c:formatCode>0%</c:formatCode>
                <c:ptCount val="10"/>
                <c:pt idx="0">
                  <c:v>0.31578947368421051</c:v>
                </c:pt>
                <c:pt idx="1">
                  <c:v>0.26315789473684209</c:v>
                </c:pt>
                <c:pt idx="2">
                  <c:v>0.42105263157894735</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7725016579333275"/>
          <c:y val="0.16088854746815182"/>
          <c:w val="0.30851495876182738"/>
          <c:h val="0.79376053603055718"/>
        </c:manualLayout>
      </c:layout>
      <c:overlay val="0"/>
      <c:txPr>
        <a:bodyPr/>
        <a:lstStyle/>
        <a:p>
          <a:pPr>
            <a:defRPr sz="1050"/>
          </a:pPr>
          <a:endParaRPr lang="en-US"/>
        </a:p>
      </c:txPr>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Lines="10" dropStyle="combo" dx="16" fmlaLink="$I$2" fmlaRange="Admin!$A$14:$A$23" noThreeD="1" sel="6" val="0"/>
</file>

<file path=xl/ctrlProps/ctrlProp2.xml><?xml version="1.0" encoding="utf-8"?>
<formControlPr xmlns="http://schemas.microsoft.com/office/spreadsheetml/2009/9/main" objectType="Drop" dropLines="2" dropStyle="combo" dx="16" fmlaLink="$J$2" fmlaRange="Admin!$B$10:$B$11" noThreeD="1" val="0"/>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GettingStarted_linkcell"/><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http://efc.sog.unc.edu" TargetMode="Externa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 Id="rId9" Type="http://schemas.openxmlformats.org/officeDocument/2006/relationships/image" Target="../media/image7.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11.xml.rels><?xml version="1.0" encoding="UTF-8" standalone="yes"?>
<Relationships xmlns="http://schemas.openxmlformats.org/package/2006/relationships"><Relationship Id="rId1" Type="http://schemas.openxmlformats.org/officeDocument/2006/relationships/hyperlink" Target="#Dashboard!A1"/></Relationships>
</file>

<file path=xl/drawings/_rels/drawing12.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3" Type="http://schemas.openxmlformats.org/officeDocument/2006/relationships/hyperlink" Target="#Dashboard_Linkedcell"/><Relationship Id="rId2" Type="http://schemas.openxmlformats.org/officeDocument/2006/relationships/image" Target="../media/image1.png"/><Relationship Id="rId1" Type="http://schemas.openxmlformats.org/officeDocument/2006/relationships/hyperlink" Target="http://efc.sog.unc.edu"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efc.sog.unc.edu" TargetMode="Externa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drawing1.xml><?xml version="1.0" encoding="utf-8"?>
<xdr:wsDr xmlns:xdr="http://schemas.openxmlformats.org/drawingml/2006/spreadsheetDrawing" xmlns:a="http://schemas.openxmlformats.org/drawingml/2006/main">
  <xdr:twoCellAnchor editAs="oneCell">
    <xdr:from>
      <xdr:col>12</xdr:col>
      <xdr:colOff>276224</xdr:colOff>
      <xdr:row>0</xdr:row>
      <xdr:rowOff>152400</xdr:rowOff>
    </xdr:from>
    <xdr:to>
      <xdr:col>16</xdr:col>
      <xdr:colOff>390525</xdr:colOff>
      <xdr:row>1</xdr:row>
      <xdr:rowOff>645</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05824" y="152400"/>
          <a:ext cx="2514601" cy="410220"/>
        </a:xfrm>
        <a:prstGeom prst="rect">
          <a:avLst/>
        </a:prstGeom>
      </xdr:spPr>
    </xdr:pic>
    <xdr:clientData/>
  </xdr:twoCellAnchor>
  <xdr:oneCellAnchor>
    <xdr:from>
      <xdr:col>5</xdr:col>
      <xdr:colOff>400050</xdr:colOff>
      <xdr:row>67</xdr:row>
      <xdr:rowOff>0</xdr:rowOff>
    </xdr:from>
    <xdr:ext cx="2133600" cy="525537"/>
    <xdr:sp macro="" textlink="">
      <xdr:nvSpPr>
        <xdr:cNvPr id="11" name="Right Arrow 10">
          <a:hlinkClick xmlns:r="http://schemas.openxmlformats.org/officeDocument/2006/relationships" r:id="rId3"/>
        </xdr:cNvPr>
        <xdr:cNvSpPr/>
      </xdr:nvSpPr>
      <xdr:spPr>
        <a:xfrm>
          <a:off x="5791200" y="12658725"/>
          <a:ext cx="2133600" cy="525537"/>
        </a:xfrm>
        <a:prstGeom prst="righ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spAutoFit/>
        </a:bodyPr>
        <a:lstStyle/>
        <a:p>
          <a:pPr algn="l"/>
          <a:r>
            <a:rPr lang="en-US" sz="1100" b="1"/>
            <a:t>Get</a:t>
          </a:r>
          <a:r>
            <a:rPr lang="en-US" sz="1100" b="1" baseline="0"/>
            <a:t> Started</a:t>
          </a:r>
        </a:p>
      </xdr:txBody>
    </xdr:sp>
    <xdr:clientData/>
  </xdr:oneCellAnchor>
  <xdr:twoCellAnchor>
    <xdr:from>
      <xdr:col>1</xdr:col>
      <xdr:colOff>57151</xdr:colOff>
      <xdr:row>29</xdr:row>
      <xdr:rowOff>85725</xdr:rowOff>
    </xdr:from>
    <xdr:to>
      <xdr:col>6</xdr:col>
      <xdr:colOff>1954330</xdr:colOff>
      <xdr:row>42</xdr:row>
      <xdr:rowOff>0</xdr:rowOff>
    </xdr:to>
    <xdr:grpSp>
      <xdr:nvGrpSpPr>
        <xdr:cNvPr id="23" name="Group 22"/>
        <xdr:cNvGrpSpPr/>
      </xdr:nvGrpSpPr>
      <xdr:grpSpPr>
        <a:xfrm>
          <a:off x="666751" y="5943600"/>
          <a:ext cx="7278804" cy="2390775"/>
          <a:chOff x="0" y="3254188"/>
          <a:chExt cx="7876903" cy="2649071"/>
        </a:xfrm>
      </xdr:grpSpPr>
      <xdr:pic>
        <xdr:nvPicPr>
          <xdr:cNvPr id="24" name="Picture 23"/>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2706" r="35393" b="22530"/>
          <a:stretch/>
        </xdr:blipFill>
        <xdr:spPr bwMode="auto">
          <a:xfrm>
            <a:off x="0" y="3254188"/>
            <a:ext cx="7876903" cy="264907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25" name="Right Arrow 24"/>
          <xdr:cNvSpPr/>
        </xdr:nvSpPr>
        <xdr:spPr>
          <a:xfrm>
            <a:off x="3276600" y="3733799"/>
            <a:ext cx="1447800" cy="457201"/>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b="1"/>
          </a:p>
        </xdr:txBody>
      </xdr:sp>
    </xdr:grpSp>
    <xdr:clientData/>
  </xdr:twoCellAnchor>
  <xdr:twoCellAnchor>
    <xdr:from>
      <xdr:col>1</xdr:col>
      <xdr:colOff>133350</xdr:colOff>
      <xdr:row>45</xdr:row>
      <xdr:rowOff>47625</xdr:rowOff>
    </xdr:from>
    <xdr:to>
      <xdr:col>6</xdr:col>
      <xdr:colOff>1152525</xdr:colOff>
      <xdr:row>48</xdr:row>
      <xdr:rowOff>689818</xdr:rowOff>
    </xdr:to>
    <xdr:grpSp>
      <xdr:nvGrpSpPr>
        <xdr:cNvPr id="26" name="Group 25"/>
        <xdr:cNvGrpSpPr/>
      </xdr:nvGrpSpPr>
      <xdr:grpSpPr>
        <a:xfrm>
          <a:off x="742950" y="8953500"/>
          <a:ext cx="6400800" cy="1213693"/>
          <a:chOff x="0" y="1946366"/>
          <a:chExt cx="6400800" cy="1213693"/>
        </a:xfrm>
      </xdr:grpSpPr>
      <xdr:pic>
        <xdr:nvPicPr>
          <xdr:cNvPr id="27" name="Picture 26"/>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25543" r="47500" b="58529"/>
          <a:stretch/>
        </xdr:blipFill>
        <xdr:spPr bwMode="auto">
          <a:xfrm>
            <a:off x="0" y="1946366"/>
            <a:ext cx="6400800" cy="121369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28" name="Right Arrow 27"/>
          <xdr:cNvSpPr/>
        </xdr:nvSpPr>
        <xdr:spPr>
          <a:xfrm>
            <a:off x="2971800" y="2627233"/>
            <a:ext cx="723900" cy="457201"/>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b="1"/>
          </a:p>
        </xdr:txBody>
      </xdr:sp>
    </xdr:grpSp>
    <xdr:clientData/>
  </xdr:twoCellAnchor>
  <xdr:twoCellAnchor>
    <xdr:from>
      <xdr:col>1</xdr:col>
      <xdr:colOff>114300</xdr:colOff>
      <xdr:row>55</xdr:row>
      <xdr:rowOff>161925</xdr:rowOff>
    </xdr:from>
    <xdr:to>
      <xdr:col>6</xdr:col>
      <xdr:colOff>1160369</xdr:colOff>
      <xdr:row>64</xdr:row>
      <xdr:rowOff>101413</xdr:rowOff>
    </xdr:to>
    <xdr:grpSp>
      <xdr:nvGrpSpPr>
        <xdr:cNvPr id="32" name="Group 31"/>
        <xdr:cNvGrpSpPr/>
      </xdr:nvGrpSpPr>
      <xdr:grpSpPr>
        <a:xfrm>
          <a:off x="723900" y="13935075"/>
          <a:ext cx="6427694" cy="1653988"/>
          <a:chOff x="0" y="3657601"/>
          <a:chExt cx="6427694" cy="1653988"/>
        </a:xfrm>
      </xdr:grpSpPr>
      <xdr:pic>
        <xdr:nvPicPr>
          <xdr:cNvPr id="33" name="Picture 32"/>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000" r="47280" b="30295"/>
          <a:stretch/>
        </xdr:blipFill>
        <xdr:spPr bwMode="auto">
          <a:xfrm>
            <a:off x="0" y="3657601"/>
            <a:ext cx="6427694" cy="165398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34" name="Right Arrow 33"/>
          <xdr:cNvSpPr/>
        </xdr:nvSpPr>
        <xdr:spPr>
          <a:xfrm>
            <a:off x="381000" y="3810000"/>
            <a:ext cx="1104900" cy="457201"/>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b="1"/>
          </a:p>
        </xdr:txBody>
      </xdr:sp>
    </xdr:grpSp>
    <xdr:clientData/>
  </xdr:twoCellAnchor>
  <xdr:twoCellAnchor>
    <xdr:from>
      <xdr:col>1</xdr:col>
      <xdr:colOff>76200</xdr:colOff>
      <xdr:row>17</xdr:row>
      <xdr:rowOff>161925</xdr:rowOff>
    </xdr:from>
    <xdr:to>
      <xdr:col>6</xdr:col>
      <xdr:colOff>723900</xdr:colOff>
      <xdr:row>27</xdr:row>
      <xdr:rowOff>34682</xdr:rowOff>
    </xdr:to>
    <xdr:grpSp>
      <xdr:nvGrpSpPr>
        <xdr:cNvPr id="35" name="Group 34"/>
        <xdr:cNvGrpSpPr/>
      </xdr:nvGrpSpPr>
      <xdr:grpSpPr>
        <a:xfrm>
          <a:off x="685800" y="3733800"/>
          <a:ext cx="6029325" cy="1777757"/>
          <a:chOff x="0" y="2918012"/>
          <a:chExt cx="8619565" cy="2541494"/>
        </a:xfrm>
      </xdr:grpSpPr>
      <xdr:pic>
        <xdr:nvPicPr>
          <xdr:cNvPr id="36" name="Picture 35"/>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38294" r="29302" b="28353"/>
          <a:stretch/>
        </xdr:blipFill>
        <xdr:spPr bwMode="auto">
          <a:xfrm>
            <a:off x="0" y="2918012"/>
            <a:ext cx="8619565" cy="254149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37" name="Right Arrow 36"/>
          <xdr:cNvSpPr/>
        </xdr:nvSpPr>
        <xdr:spPr>
          <a:xfrm>
            <a:off x="381000" y="3810000"/>
            <a:ext cx="1371600" cy="68580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85725</xdr:colOff>
      <xdr:row>6</xdr:row>
      <xdr:rowOff>47625</xdr:rowOff>
    </xdr:from>
    <xdr:to>
      <xdr:col>6</xdr:col>
      <xdr:colOff>1464129</xdr:colOff>
      <xdr:row>14</xdr:row>
      <xdr:rowOff>142329</xdr:rowOff>
    </xdr:to>
    <xdr:grpSp>
      <xdr:nvGrpSpPr>
        <xdr:cNvPr id="40" name="Group 39"/>
        <xdr:cNvGrpSpPr/>
      </xdr:nvGrpSpPr>
      <xdr:grpSpPr>
        <a:xfrm>
          <a:off x="695325" y="1524000"/>
          <a:ext cx="6760029" cy="1618704"/>
          <a:chOff x="228600" y="2312126"/>
          <a:chExt cx="6760029" cy="1618704"/>
        </a:xfrm>
      </xdr:grpSpPr>
      <xdr:pic>
        <xdr:nvPicPr>
          <xdr:cNvPr id="41" name="Picture 40"/>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31071" r="44554" b="47686"/>
          <a:stretch/>
        </xdr:blipFill>
        <xdr:spPr bwMode="auto">
          <a:xfrm>
            <a:off x="228600" y="2312126"/>
            <a:ext cx="6760029" cy="16187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42" name="Right Arrow 41"/>
          <xdr:cNvSpPr/>
        </xdr:nvSpPr>
        <xdr:spPr>
          <a:xfrm rot="10800000">
            <a:off x="5257800" y="2819401"/>
            <a:ext cx="1371600" cy="68580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66676</xdr:colOff>
      <xdr:row>50</xdr:row>
      <xdr:rowOff>133350</xdr:rowOff>
    </xdr:from>
    <xdr:to>
      <xdr:col>6</xdr:col>
      <xdr:colOff>1318395</xdr:colOff>
      <xdr:row>51</xdr:row>
      <xdr:rowOff>2276475</xdr:rowOff>
    </xdr:to>
    <xdr:grpSp>
      <xdr:nvGrpSpPr>
        <xdr:cNvPr id="45" name="Group 44"/>
        <xdr:cNvGrpSpPr/>
      </xdr:nvGrpSpPr>
      <xdr:grpSpPr>
        <a:xfrm>
          <a:off x="676276" y="10706100"/>
          <a:ext cx="6633344" cy="2333625"/>
          <a:chOff x="-1524000" y="1972491"/>
          <a:chExt cx="8094617" cy="2847704"/>
        </a:xfrm>
      </xdr:grpSpPr>
      <xdr:pic>
        <xdr:nvPicPr>
          <xdr:cNvPr id="46" name="Picture 45"/>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30886" r="33607" b="31743"/>
          <a:stretch/>
        </xdr:blipFill>
        <xdr:spPr bwMode="auto">
          <a:xfrm>
            <a:off x="-1524000" y="1972491"/>
            <a:ext cx="8094617" cy="28477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47" name="Right Arrow 46"/>
          <xdr:cNvSpPr/>
        </xdr:nvSpPr>
        <xdr:spPr>
          <a:xfrm rot="10800000">
            <a:off x="3581401" y="3121477"/>
            <a:ext cx="1371600" cy="68580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85725</xdr:colOff>
      <xdr:row>66</xdr:row>
      <xdr:rowOff>161924</xdr:rowOff>
    </xdr:from>
    <xdr:to>
      <xdr:col>6</xdr:col>
      <xdr:colOff>1945243</xdr:colOff>
      <xdr:row>66</xdr:row>
      <xdr:rowOff>2933699</xdr:rowOff>
    </xdr:to>
    <xdr:grpSp>
      <xdr:nvGrpSpPr>
        <xdr:cNvPr id="29" name="Group 28"/>
        <xdr:cNvGrpSpPr/>
      </xdr:nvGrpSpPr>
      <xdr:grpSpPr>
        <a:xfrm>
          <a:off x="695325" y="16278224"/>
          <a:ext cx="7241143" cy="2771775"/>
          <a:chOff x="-13355" y="1639894"/>
          <a:chExt cx="10152529" cy="3886200"/>
        </a:xfrm>
      </xdr:grpSpPr>
      <xdr:pic>
        <xdr:nvPicPr>
          <xdr:cNvPr id="30" name="Picture 29"/>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20294" r="16728" b="28706"/>
          <a:stretch/>
        </xdr:blipFill>
        <xdr:spPr bwMode="auto">
          <a:xfrm>
            <a:off x="-13355" y="1639894"/>
            <a:ext cx="10152529" cy="38862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31" name="Right Arrow 30"/>
          <xdr:cNvSpPr/>
        </xdr:nvSpPr>
        <xdr:spPr>
          <a:xfrm rot="10800000">
            <a:off x="8294914" y="3116356"/>
            <a:ext cx="1676400" cy="746312"/>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28574</xdr:colOff>
      <xdr:row>0</xdr:row>
      <xdr:rowOff>38100</xdr:rowOff>
    </xdr:from>
    <xdr:to>
      <xdr:col>3</xdr:col>
      <xdr:colOff>1333499</xdr:colOff>
      <xdr:row>6</xdr:row>
      <xdr:rowOff>161925</xdr:rowOff>
    </xdr:to>
    <xdr:sp macro="" textlink="">
      <xdr:nvSpPr>
        <xdr:cNvPr id="2" name="Rounded Rectangle 1">
          <a:hlinkClick xmlns:r="http://schemas.openxmlformats.org/officeDocument/2006/relationships" r:id="rId1"/>
        </xdr:cNvPr>
        <xdr:cNvSpPr/>
      </xdr:nvSpPr>
      <xdr:spPr>
        <a:xfrm>
          <a:off x="5048249" y="38100"/>
          <a:ext cx="1304925" cy="323850"/>
        </a:xfrm>
        <a:prstGeom prst="roundRect">
          <a:avLst/>
        </a:prstGeom>
        <a:solidFill>
          <a:schemeClr val="accent1">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solidFill>
                <a:sysClr val="windowText" lastClr="000000"/>
              </a:solidFill>
            </a:rPr>
            <a:t>To</a:t>
          </a:r>
          <a:r>
            <a:rPr lang="en-US" sz="1100" baseline="0"/>
            <a:t> </a:t>
          </a:r>
          <a:r>
            <a:rPr lang="en-US" sz="1200" baseline="0">
              <a:solidFill>
                <a:sysClr val="windowText" lastClr="000000"/>
              </a:solidFill>
            </a:rPr>
            <a:t>Dashboard</a:t>
          </a:r>
          <a:endParaRPr lang="en-US" sz="11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47624</xdr:colOff>
      <xdr:row>0</xdr:row>
      <xdr:rowOff>28575</xdr:rowOff>
    </xdr:from>
    <xdr:to>
      <xdr:col>4</xdr:col>
      <xdr:colOff>257174</xdr:colOff>
      <xdr:row>1</xdr:row>
      <xdr:rowOff>152400</xdr:rowOff>
    </xdr:to>
    <xdr:sp macro="" textlink="">
      <xdr:nvSpPr>
        <xdr:cNvPr id="2" name="Rounded Rectangle 1">
          <a:hlinkClick xmlns:r="http://schemas.openxmlformats.org/officeDocument/2006/relationships" r:id="rId1"/>
        </xdr:cNvPr>
        <xdr:cNvSpPr/>
      </xdr:nvSpPr>
      <xdr:spPr>
        <a:xfrm>
          <a:off x="4114799" y="28575"/>
          <a:ext cx="1266825" cy="323850"/>
        </a:xfrm>
        <a:prstGeom prst="roundRect">
          <a:avLst/>
        </a:prstGeom>
        <a:solidFill>
          <a:schemeClr val="accent1">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solidFill>
                <a:sysClr val="windowText" lastClr="000000"/>
              </a:solidFill>
            </a:rPr>
            <a:t>To</a:t>
          </a:r>
          <a:r>
            <a:rPr lang="en-US" sz="1100" baseline="0"/>
            <a:t> </a:t>
          </a:r>
          <a:r>
            <a:rPr lang="en-US" sz="1200" baseline="0">
              <a:solidFill>
                <a:sysClr val="windowText" lastClr="000000"/>
              </a:solidFill>
            </a:rPr>
            <a:t>Dashboard</a:t>
          </a:r>
          <a:endParaRPr lang="en-US" sz="11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28574</xdr:colOff>
      <xdr:row>0</xdr:row>
      <xdr:rowOff>38099</xdr:rowOff>
    </xdr:from>
    <xdr:to>
      <xdr:col>3</xdr:col>
      <xdr:colOff>1352549</xdr:colOff>
      <xdr:row>6</xdr:row>
      <xdr:rowOff>152399</xdr:rowOff>
    </xdr:to>
    <xdr:sp macro="" textlink="">
      <xdr:nvSpPr>
        <xdr:cNvPr id="2" name="Rounded Rectangle 1">
          <a:hlinkClick xmlns:r="http://schemas.openxmlformats.org/officeDocument/2006/relationships" r:id="rId1"/>
        </xdr:cNvPr>
        <xdr:cNvSpPr/>
      </xdr:nvSpPr>
      <xdr:spPr>
        <a:xfrm>
          <a:off x="5048249" y="38099"/>
          <a:ext cx="1323975" cy="314325"/>
        </a:xfrm>
        <a:prstGeom prst="roundRect">
          <a:avLst/>
        </a:prstGeom>
        <a:solidFill>
          <a:schemeClr val="accent1">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solidFill>
                <a:sysClr val="windowText" lastClr="000000"/>
              </a:solidFill>
            </a:rPr>
            <a:t>To</a:t>
          </a:r>
          <a:r>
            <a:rPr lang="en-US" sz="1100" baseline="0"/>
            <a:t> </a:t>
          </a:r>
          <a:r>
            <a:rPr lang="en-US" sz="1200" baseline="0">
              <a:solidFill>
                <a:sysClr val="windowText" lastClr="000000"/>
              </a:solidFill>
            </a:rPr>
            <a:t>Dashboard</a:t>
          </a:r>
          <a:endParaRPr 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276224</xdr:colOff>
      <xdr:row>0</xdr:row>
      <xdr:rowOff>152400</xdr:rowOff>
    </xdr:from>
    <xdr:to>
      <xdr:col>16</xdr:col>
      <xdr:colOff>390525</xdr:colOff>
      <xdr:row>0</xdr:row>
      <xdr:rowOff>562620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58074" y="152400"/>
          <a:ext cx="2514601" cy="4102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2466975</xdr:colOff>
          <xdr:row>2</xdr:row>
          <xdr:rowOff>0</xdr:rowOff>
        </xdr:from>
        <xdr:to>
          <xdr:col>3</xdr:col>
          <xdr:colOff>133350</xdr:colOff>
          <xdr:row>3</xdr:row>
          <xdr:rowOff>0</xdr:rowOff>
        </xdr:to>
        <xdr:sp macro="" textlink="">
          <xdr:nvSpPr>
            <xdr:cNvPr id="3073" name="Drop Down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oneCellAnchor>
    <xdr:from>
      <xdr:col>7</xdr:col>
      <xdr:colOff>95250</xdr:colOff>
      <xdr:row>28</xdr:row>
      <xdr:rowOff>9525</xdr:rowOff>
    </xdr:from>
    <xdr:ext cx="2257425" cy="525537"/>
    <xdr:sp macro="" textlink="">
      <xdr:nvSpPr>
        <xdr:cNvPr id="2" name="Right Arrow 1">
          <a:hlinkClick xmlns:r="http://schemas.openxmlformats.org/officeDocument/2006/relationships" r:id="rId3"/>
        </xdr:cNvPr>
        <xdr:cNvSpPr/>
      </xdr:nvSpPr>
      <xdr:spPr>
        <a:xfrm>
          <a:off x="7277100" y="6410325"/>
          <a:ext cx="2257425" cy="525537"/>
        </a:xfrm>
        <a:prstGeom prst="righ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spAutoFit/>
        </a:bodyPr>
        <a:lstStyle/>
        <a:p>
          <a:pPr algn="l"/>
          <a:r>
            <a:rPr lang="en-US" sz="1100" b="1" baseline="0"/>
            <a:t>To Dashboard</a:t>
          </a:r>
          <a:endParaRPr lang="en-US" sz="1100" b="1"/>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180975</xdr:rowOff>
        </xdr:from>
        <xdr:to>
          <xdr:col>4</xdr:col>
          <xdr:colOff>1019175</xdr:colOff>
          <xdr:row>3</xdr:row>
          <xdr:rowOff>28575</xdr:rowOff>
        </xdr:to>
        <xdr:sp macro="" textlink="">
          <xdr:nvSpPr>
            <xdr:cNvPr id="1026" name="Drop Down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twoCellAnchor>
    <xdr:from>
      <xdr:col>6</xdr:col>
      <xdr:colOff>19048</xdr:colOff>
      <xdr:row>2</xdr:row>
      <xdr:rowOff>90487</xdr:rowOff>
    </xdr:from>
    <xdr:to>
      <xdr:col>16</xdr:col>
      <xdr:colOff>19049</xdr:colOff>
      <xdr:row>26</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6</xdr:col>
      <xdr:colOff>180975</xdr:colOff>
      <xdr:row>36</xdr:row>
      <xdr:rowOff>161925</xdr:rowOff>
    </xdr:from>
    <xdr:to>
      <xdr:col>13</xdr:col>
      <xdr:colOff>38100</xdr:colOff>
      <xdr:row>54</xdr:row>
      <xdr:rowOff>57150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oneCellAnchor>
    <xdr:from>
      <xdr:col>7</xdr:col>
      <xdr:colOff>361949</xdr:colOff>
      <xdr:row>0</xdr:row>
      <xdr:rowOff>76200</xdr:rowOff>
    </xdr:from>
    <xdr:ext cx="2552701" cy="429270"/>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00999" y="76200"/>
          <a:ext cx="2552701" cy="42927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3</xdr:col>
      <xdr:colOff>19050</xdr:colOff>
      <xdr:row>0</xdr:row>
      <xdr:rowOff>19050</xdr:rowOff>
    </xdr:from>
    <xdr:to>
      <xdr:col>3</xdr:col>
      <xdr:colOff>1343025</xdr:colOff>
      <xdr:row>6</xdr:row>
      <xdr:rowOff>161925</xdr:rowOff>
    </xdr:to>
    <xdr:sp macro="" textlink="">
      <xdr:nvSpPr>
        <xdr:cNvPr id="3" name="Rounded Rectangle 2">
          <a:hlinkClick xmlns:r="http://schemas.openxmlformats.org/officeDocument/2006/relationships" r:id="rId1"/>
        </xdr:cNvPr>
        <xdr:cNvSpPr/>
      </xdr:nvSpPr>
      <xdr:spPr>
        <a:xfrm>
          <a:off x="5276850" y="19050"/>
          <a:ext cx="1323975" cy="342900"/>
        </a:xfrm>
        <a:prstGeom prst="roundRect">
          <a:avLst/>
        </a:prstGeom>
        <a:solidFill>
          <a:schemeClr val="accent1">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solidFill>
                <a:sysClr val="windowText" lastClr="000000"/>
              </a:solidFill>
            </a:rPr>
            <a:t>To</a:t>
          </a:r>
          <a:r>
            <a:rPr lang="en-US" sz="1100" baseline="0"/>
            <a:t> </a:t>
          </a:r>
          <a:r>
            <a:rPr lang="en-US" sz="1200" baseline="0">
              <a:solidFill>
                <a:sysClr val="windowText" lastClr="000000"/>
              </a:solidFill>
            </a:rPr>
            <a:t>Dashboard</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9525</xdr:colOff>
      <xdr:row>0</xdr:row>
      <xdr:rowOff>28575</xdr:rowOff>
    </xdr:from>
    <xdr:to>
      <xdr:col>3</xdr:col>
      <xdr:colOff>1362075</xdr:colOff>
      <xdr:row>6</xdr:row>
      <xdr:rowOff>161925</xdr:rowOff>
    </xdr:to>
    <xdr:sp macro="" textlink="">
      <xdr:nvSpPr>
        <xdr:cNvPr id="2" name="Rounded Rectangle 1">
          <a:hlinkClick xmlns:r="http://schemas.openxmlformats.org/officeDocument/2006/relationships" r:id="rId1"/>
        </xdr:cNvPr>
        <xdr:cNvSpPr/>
      </xdr:nvSpPr>
      <xdr:spPr>
        <a:xfrm>
          <a:off x="5029200" y="28575"/>
          <a:ext cx="1352550" cy="1285875"/>
        </a:xfrm>
        <a:prstGeom prst="roundRect">
          <a:avLst/>
        </a:prstGeom>
        <a:solidFill>
          <a:schemeClr val="accent1">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solidFill>
                <a:sysClr val="windowText" lastClr="000000"/>
              </a:solidFill>
            </a:rPr>
            <a:t>To</a:t>
          </a:r>
          <a:r>
            <a:rPr lang="en-US" sz="1100" baseline="0"/>
            <a:t> </a:t>
          </a:r>
          <a:r>
            <a:rPr lang="en-US" sz="1200" baseline="0">
              <a:solidFill>
                <a:sysClr val="windowText" lastClr="000000"/>
              </a:solidFill>
            </a:rPr>
            <a:t>Dashboard</a:t>
          </a:r>
          <a:endParaRPr lang="en-US"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28574</xdr:colOff>
      <xdr:row>0</xdr:row>
      <xdr:rowOff>38100</xdr:rowOff>
    </xdr:from>
    <xdr:to>
      <xdr:col>3</xdr:col>
      <xdr:colOff>1371599</xdr:colOff>
      <xdr:row>6</xdr:row>
      <xdr:rowOff>142875</xdr:rowOff>
    </xdr:to>
    <xdr:sp macro="" textlink="">
      <xdr:nvSpPr>
        <xdr:cNvPr id="2" name="Rounded Rectangle 1">
          <a:hlinkClick xmlns:r="http://schemas.openxmlformats.org/officeDocument/2006/relationships" r:id="rId1"/>
        </xdr:cNvPr>
        <xdr:cNvSpPr/>
      </xdr:nvSpPr>
      <xdr:spPr>
        <a:xfrm>
          <a:off x="6410324" y="38100"/>
          <a:ext cx="1343025" cy="304800"/>
        </a:xfrm>
        <a:prstGeom prst="roundRect">
          <a:avLst/>
        </a:prstGeom>
        <a:solidFill>
          <a:schemeClr val="accent1">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solidFill>
                <a:sysClr val="windowText" lastClr="000000"/>
              </a:solidFill>
            </a:rPr>
            <a:t>To</a:t>
          </a:r>
          <a:r>
            <a:rPr lang="en-US" sz="1100" baseline="0"/>
            <a:t> </a:t>
          </a:r>
          <a:r>
            <a:rPr lang="en-US" sz="1200" baseline="0">
              <a:solidFill>
                <a:sysClr val="windowText" lastClr="000000"/>
              </a:solidFill>
            </a:rPr>
            <a:t>Dashboard</a:t>
          </a:r>
          <a:endParaRPr lang="en-US" sz="11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19049</xdr:colOff>
      <xdr:row>0</xdr:row>
      <xdr:rowOff>19050</xdr:rowOff>
    </xdr:from>
    <xdr:to>
      <xdr:col>3</xdr:col>
      <xdr:colOff>1362074</xdr:colOff>
      <xdr:row>6</xdr:row>
      <xdr:rowOff>161925</xdr:rowOff>
    </xdr:to>
    <xdr:sp macro="" textlink="">
      <xdr:nvSpPr>
        <xdr:cNvPr id="2" name="Rounded Rectangle 1">
          <a:hlinkClick xmlns:r="http://schemas.openxmlformats.org/officeDocument/2006/relationships" r:id="rId1"/>
        </xdr:cNvPr>
        <xdr:cNvSpPr/>
      </xdr:nvSpPr>
      <xdr:spPr>
        <a:xfrm>
          <a:off x="6400799" y="19050"/>
          <a:ext cx="1343025" cy="342900"/>
        </a:xfrm>
        <a:prstGeom prst="roundRect">
          <a:avLst/>
        </a:prstGeom>
        <a:solidFill>
          <a:schemeClr val="accent1">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solidFill>
                <a:sysClr val="windowText" lastClr="000000"/>
              </a:solidFill>
            </a:rPr>
            <a:t>To</a:t>
          </a:r>
          <a:r>
            <a:rPr lang="en-US" sz="1100" baseline="0"/>
            <a:t> </a:t>
          </a:r>
          <a:r>
            <a:rPr lang="en-US" sz="1200" baseline="0">
              <a:solidFill>
                <a:sysClr val="windowText" lastClr="000000"/>
              </a:solidFill>
            </a:rPr>
            <a:t>Dashboard</a:t>
          </a:r>
          <a:endParaRPr lang="en-US"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9525</xdr:colOff>
      <xdr:row>0</xdr:row>
      <xdr:rowOff>28574</xdr:rowOff>
    </xdr:from>
    <xdr:to>
      <xdr:col>3</xdr:col>
      <xdr:colOff>1343025</xdr:colOff>
      <xdr:row>6</xdr:row>
      <xdr:rowOff>161924</xdr:rowOff>
    </xdr:to>
    <xdr:sp macro="" textlink="">
      <xdr:nvSpPr>
        <xdr:cNvPr id="2" name="Rounded Rectangle 1">
          <a:hlinkClick xmlns:r="http://schemas.openxmlformats.org/officeDocument/2006/relationships" r:id="rId1"/>
        </xdr:cNvPr>
        <xdr:cNvSpPr/>
      </xdr:nvSpPr>
      <xdr:spPr>
        <a:xfrm>
          <a:off x="5438775" y="28574"/>
          <a:ext cx="1333500" cy="333375"/>
        </a:xfrm>
        <a:prstGeom prst="roundRect">
          <a:avLst/>
        </a:prstGeom>
        <a:solidFill>
          <a:schemeClr val="accent1">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solidFill>
                <a:sysClr val="windowText" lastClr="000000"/>
              </a:solidFill>
            </a:rPr>
            <a:t>To</a:t>
          </a:r>
          <a:r>
            <a:rPr lang="en-US" sz="1100" baseline="0"/>
            <a:t> </a:t>
          </a:r>
          <a:r>
            <a:rPr lang="en-US" sz="1200" baseline="0">
              <a:solidFill>
                <a:sysClr val="windowText" lastClr="000000"/>
              </a:solidFill>
            </a:rPr>
            <a:t>Dashboard</a:t>
          </a:r>
          <a:endParaRPr lang="en-US" sz="11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xdr:colOff>
      <xdr:row>0</xdr:row>
      <xdr:rowOff>28574</xdr:rowOff>
    </xdr:from>
    <xdr:to>
      <xdr:col>4</xdr:col>
      <xdr:colOff>0</xdr:colOff>
      <xdr:row>6</xdr:row>
      <xdr:rowOff>161924</xdr:rowOff>
    </xdr:to>
    <xdr:sp macro="" textlink="">
      <xdr:nvSpPr>
        <xdr:cNvPr id="2" name="Rounded Rectangle 1">
          <a:hlinkClick xmlns:r="http://schemas.openxmlformats.org/officeDocument/2006/relationships" r:id="rId1"/>
        </xdr:cNvPr>
        <xdr:cNvSpPr/>
      </xdr:nvSpPr>
      <xdr:spPr>
        <a:xfrm>
          <a:off x="5038725" y="28574"/>
          <a:ext cx="1352550" cy="333375"/>
        </a:xfrm>
        <a:prstGeom prst="roundRect">
          <a:avLst/>
        </a:prstGeom>
        <a:solidFill>
          <a:schemeClr val="accent1">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100">
              <a:solidFill>
                <a:sysClr val="windowText" lastClr="000000"/>
              </a:solidFill>
            </a:rPr>
            <a:t>To</a:t>
          </a:r>
          <a:r>
            <a:rPr lang="en-US" sz="1100" baseline="0"/>
            <a:t> </a:t>
          </a:r>
          <a:r>
            <a:rPr lang="en-US" sz="1200" baseline="0">
              <a:solidFill>
                <a:sysClr val="windowText" lastClr="000000"/>
              </a:solidFill>
            </a:rPr>
            <a:t>Dashboard</a:t>
          </a:r>
          <a:endParaRPr lang="en-US" sz="11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efc.sog.unc.ed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6"/>
  <sheetViews>
    <sheetView tabSelected="1" workbookViewId="0">
      <pane ySplit="1" topLeftCell="A2" activePane="bottomLeft" state="frozen"/>
      <selection activeCell="C1" sqref="C1"/>
      <selection pane="bottomLeft" activeCell="B76" sqref="B76:G76"/>
    </sheetView>
  </sheetViews>
  <sheetFormatPr defaultColWidth="9.140625" defaultRowHeight="15" x14ac:dyDescent="0.25"/>
  <cols>
    <col min="1" max="1" width="9.140625" style="6"/>
    <col min="2" max="2" width="9.5703125" style="6" customWidth="1"/>
    <col min="3" max="3" width="44.140625" style="6" bestFit="1" customWidth="1"/>
    <col min="4" max="6" width="9" style="6" customWidth="1"/>
    <col min="7" max="7" width="31.5703125" style="6" customWidth="1"/>
    <col min="8" max="8" width="12.28515625" style="6" customWidth="1"/>
    <col min="9" max="11" width="0" style="6" hidden="1" customWidth="1"/>
    <col min="12" max="18" width="9" style="6" customWidth="1"/>
    <col min="19" max="16384" width="9.140625" style="6"/>
  </cols>
  <sheetData>
    <row r="1" spans="1:19" s="9" customFormat="1" ht="45.75" customHeight="1" x14ac:dyDescent="0.25">
      <c r="A1" s="144" t="s">
        <v>234</v>
      </c>
      <c r="B1" s="144"/>
      <c r="C1" s="144"/>
      <c r="D1" s="144"/>
      <c r="E1" s="144"/>
      <c r="F1" s="144"/>
      <c r="G1" s="144"/>
      <c r="H1" s="144"/>
      <c r="I1" s="94"/>
      <c r="J1" s="94"/>
      <c r="K1" s="94"/>
      <c r="L1" s="94"/>
      <c r="M1" s="94"/>
      <c r="N1" s="94"/>
      <c r="P1" s="145"/>
      <c r="Q1" s="145"/>
      <c r="R1" s="145"/>
      <c r="S1" s="145"/>
    </row>
    <row r="2" spans="1:19" x14ac:dyDescent="0.25">
      <c r="A2" s="146"/>
      <c r="B2" s="146"/>
      <c r="C2" s="146"/>
      <c r="D2" s="146"/>
      <c r="E2" s="146"/>
      <c r="F2" s="146"/>
      <c r="G2" s="146"/>
      <c r="H2" s="146"/>
      <c r="I2" s="107"/>
      <c r="J2" s="107"/>
      <c r="N2" s="27"/>
    </row>
    <row r="3" spans="1:19" ht="10.5" customHeight="1" x14ac:dyDescent="0.25">
      <c r="A3" s="15"/>
      <c r="B3" s="15"/>
      <c r="C3" s="15"/>
      <c r="D3" s="15"/>
      <c r="E3" s="15"/>
      <c r="F3" s="15"/>
      <c r="G3" s="15"/>
      <c r="H3" s="15"/>
      <c r="I3" s="108"/>
      <c r="J3" s="15"/>
      <c r="K3" s="15"/>
      <c r="O3" s="27"/>
    </row>
    <row r="5" spans="1:19" ht="15" customHeight="1" x14ac:dyDescent="0.25">
      <c r="B5" s="147" t="s">
        <v>192</v>
      </c>
      <c r="C5" s="147"/>
      <c r="D5" s="147"/>
      <c r="E5" s="147"/>
      <c r="F5" s="147"/>
      <c r="G5" s="147"/>
    </row>
    <row r="6" spans="1:19" x14ac:dyDescent="0.25">
      <c r="B6" s="99"/>
      <c r="C6" s="99"/>
      <c r="D6" s="99"/>
      <c r="E6" s="99"/>
      <c r="F6" s="99"/>
      <c r="G6" s="99"/>
    </row>
    <row r="7" spans="1:19" x14ac:dyDescent="0.25">
      <c r="B7" s="99"/>
      <c r="C7" s="99"/>
      <c r="D7" s="99"/>
      <c r="E7" s="99"/>
      <c r="F7" s="99"/>
      <c r="G7" s="99"/>
    </row>
    <row r="8" spans="1:19" x14ac:dyDescent="0.25">
      <c r="B8" s="100"/>
      <c r="C8" s="100"/>
      <c r="D8" s="100"/>
      <c r="E8" s="100"/>
      <c r="F8" s="100"/>
      <c r="G8" s="100"/>
    </row>
    <row r="9" spans="1:19" x14ac:dyDescent="0.25">
      <c r="B9" s="100"/>
      <c r="C9" s="100"/>
      <c r="D9" s="100"/>
      <c r="E9" s="100"/>
      <c r="F9" s="100"/>
      <c r="G9" s="100"/>
    </row>
    <row r="10" spans="1:19" x14ac:dyDescent="0.25">
      <c r="B10" s="100"/>
      <c r="C10" s="100"/>
      <c r="D10" s="100"/>
      <c r="E10" s="100"/>
      <c r="F10" s="100"/>
      <c r="G10" s="100"/>
    </row>
    <row r="11" spans="1:19" x14ac:dyDescent="0.25">
      <c r="B11" s="100"/>
      <c r="C11" s="100"/>
      <c r="D11" s="100"/>
      <c r="E11" s="100"/>
      <c r="F11" s="100"/>
      <c r="G11" s="100"/>
    </row>
    <row r="12" spans="1:19" x14ac:dyDescent="0.25">
      <c r="B12" s="100"/>
      <c r="C12" s="100"/>
      <c r="D12" s="100"/>
      <c r="E12" s="100"/>
      <c r="F12" s="100"/>
      <c r="G12" s="100"/>
    </row>
    <row r="13" spans="1:19" x14ac:dyDescent="0.25">
      <c r="B13" s="100"/>
      <c r="C13" s="100"/>
      <c r="D13" s="100"/>
      <c r="E13" s="100"/>
      <c r="F13" s="100"/>
      <c r="G13" s="100"/>
    </row>
    <row r="14" spans="1:19" x14ac:dyDescent="0.25">
      <c r="B14" s="100"/>
      <c r="C14" s="100"/>
      <c r="D14" s="100"/>
      <c r="E14" s="100"/>
      <c r="F14" s="100"/>
      <c r="G14" s="100"/>
    </row>
    <row r="15" spans="1:19" x14ac:dyDescent="0.25">
      <c r="B15" s="100"/>
      <c r="C15" s="100"/>
      <c r="D15" s="100"/>
      <c r="E15" s="100"/>
      <c r="F15" s="100"/>
      <c r="G15" s="100"/>
    </row>
    <row r="16" spans="1:19" ht="15" customHeight="1" x14ac:dyDescent="0.25">
      <c r="B16" s="110"/>
      <c r="C16" s="110"/>
      <c r="D16" s="110"/>
      <c r="E16" s="110"/>
      <c r="F16" s="110"/>
      <c r="G16" s="110"/>
    </row>
    <row r="17" spans="2:7" x14ac:dyDescent="0.25">
      <c r="B17" s="141" t="s">
        <v>216</v>
      </c>
      <c r="C17" s="141"/>
      <c r="D17" s="141"/>
      <c r="E17" s="141"/>
      <c r="F17" s="141"/>
      <c r="G17" s="141"/>
    </row>
    <row r="18" spans="2:7" x14ac:dyDescent="0.25">
      <c r="B18" s="141"/>
      <c r="C18" s="141"/>
      <c r="D18" s="141"/>
      <c r="E18" s="141"/>
      <c r="F18" s="141"/>
      <c r="G18" s="141"/>
    </row>
    <row r="19" spans="2:7" x14ac:dyDescent="0.25">
      <c r="B19" s="100"/>
      <c r="C19" s="100"/>
      <c r="D19" s="100"/>
      <c r="E19" s="100"/>
      <c r="F19" s="100"/>
      <c r="G19" s="100"/>
    </row>
    <row r="20" spans="2:7" x14ac:dyDescent="0.25">
      <c r="B20" s="100"/>
      <c r="C20" s="100"/>
      <c r="D20" s="100"/>
      <c r="E20" s="100"/>
      <c r="F20" s="100"/>
      <c r="G20" s="100"/>
    </row>
    <row r="21" spans="2:7" x14ac:dyDescent="0.25">
      <c r="B21" s="100"/>
      <c r="C21" s="100"/>
      <c r="D21" s="100"/>
      <c r="E21" s="100"/>
      <c r="F21" s="100"/>
      <c r="G21" s="100"/>
    </row>
    <row r="22" spans="2:7" x14ac:dyDescent="0.25">
      <c r="B22" s="100"/>
      <c r="C22" s="100"/>
      <c r="D22" s="100"/>
      <c r="E22" s="100"/>
      <c r="F22" s="100"/>
      <c r="G22" s="100"/>
    </row>
    <row r="23" spans="2:7" x14ac:dyDescent="0.25">
      <c r="B23" s="100"/>
      <c r="C23" s="100"/>
      <c r="D23" s="100"/>
      <c r="E23" s="100"/>
      <c r="F23" s="100"/>
      <c r="G23" s="100"/>
    </row>
    <row r="24" spans="2:7" x14ac:dyDescent="0.25">
      <c r="B24" s="100"/>
      <c r="C24" s="100"/>
      <c r="D24" s="100"/>
      <c r="E24" s="100"/>
      <c r="F24" s="100"/>
      <c r="G24" s="100"/>
    </row>
    <row r="25" spans="2:7" x14ac:dyDescent="0.25">
      <c r="B25" s="100"/>
      <c r="C25" s="100"/>
      <c r="D25" s="100"/>
      <c r="E25" s="100"/>
      <c r="F25" s="100"/>
      <c r="G25" s="100"/>
    </row>
    <row r="26" spans="2:7" x14ac:dyDescent="0.25">
      <c r="B26" s="100"/>
      <c r="C26" s="100"/>
      <c r="D26" s="100"/>
      <c r="E26" s="100"/>
      <c r="F26" s="100"/>
      <c r="G26" s="100"/>
    </row>
    <row r="27" spans="2:7" x14ac:dyDescent="0.25">
      <c r="B27" s="100"/>
      <c r="C27" s="100"/>
      <c r="D27" s="100"/>
      <c r="E27" s="100"/>
      <c r="F27" s="100"/>
      <c r="G27" s="100"/>
    </row>
    <row r="28" spans="2:7" x14ac:dyDescent="0.25">
      <c r="B28" s="141" t="s">
        <v>217</v>
      </c>
      <c r="C28" s="141"/>
      <c r="D28" s="141"/>
      <c r="E28" s="141"/>
      <c r="F28" s="141"/>
      <c r="G28" s="141"/>
    </row>
    <row r="29" spans="2:7" x14ac:dyDescent="0.25">
      <c r="B29" s="141"/>
      <c r="C29" s="141"/>
      <c r="D29" s="141"/>
      <c r="E29" s="141"/>
      <c r="F29" s="141"/>
      <c r="G29" s="141"/>
    </row>
    <row r="30" spans="2:7" x14ac:dyDescent="0.25">
      <c r="B30" s="100"/>
      <c r="C30" s="100"/>
      <c r="D30" s="100"/>
      <c r="E30" s="100"/>
      <c r="F30" s="100"/>
      <c r="G30" s="100"/>
    </row>
    <row r="31" spans="2:7" x14ac:dyDescent="0.25">
      <c r="B31" s="100"/>
      <c r="C31" s="100"/>
      <c r="D31" s="100"/>
      <c r="E31" s="100"/>
      <c r="F31" s="100"/>
      <c r="G31" s="100"/>
    </row>
    <row r="32" spans="2:7" x14ac:dyDescent="0.25">
      <c r="B32" s="100"/>
      <c r="C32" s="100"/>
      <c r="D32" s="100"/>
      <c r="E32" s="100"/>
      <c r="F32" s="100"/>
      <c r="G32" s="100"/>
    </row>
    <row r="33" spans="2:7" x14ac:dyDescent="0.25">
      <c r="B33" s="100"/>
      <c r="C33" s="100"/>
      <c r="D33" s="100"/>
      <c r="E33" s="100"/>
      <c r="F33" s="100"/>
      <c r="G33" s="100"/>
    </row>
    <row r="34" spans="2:7" x14ac:dyDescent="0.25">
      <c r="B34" s="100"/>
      <c r="C34" s="100"/>
      <c r="D34" s="100"/>
      <c r="E34" s="100"/>
      <c r="F34" s="100"/>
      <c r="G34" s="100"/>
    </row>
    <row r="35" spans="2:7" x14ac:dyDescent="0.25">
      <c r="B35" s="100"/>
      <c r="C35" s="100"/>
      <c r="D35" s="100"/>
      <c r="E35" s="100"/>
      <c r="F35" s="100"/>
      <c r="G35" s="100"/>
    </row>
    <row r="36" spans="2:7" x14ac:dyDescent="0.25">
      <c r="B36" s="100"/>
      <c r="C36" s="100"/>
      <c r="D36" s="100"/>
      <c r="E36" s="100"/>
      <c r="F36" s="100"/>
      <c r="G36" s="100"/>
    </row>
    <row r="37" spans="2:7" x14ac:dyDescent="0.25">
      <c r="B37" s="100"/>
      <c r="C37" s="100"/>
      <c r="D37" s="100"/>
      <c r="E37" s="100"/>
      <c r="F37" s="100"/>
      <c r="G37" s="100"/>
    </row>
    <row r="38" spans="2:7" x14ac:dyDescent="0.25">
      <c r="B38" s="100"/>
      <c r="C38" s="100"/>
      <c r="D38" s="100"/>
      <c r="E38" s="100"/>
      <c r="F38" s="100"/>
      <c r="G38" s="100"/>
    </row>
    <row r="39" spans="2:7" x14ac:dyDescent="0.25">
      <c r="B39" s="100"/>
      <c r="C39" s="100"/>
      <c r="D39" s="100"/>
      <c r="E39" s="100"/>
      <c r="F39" s="100"/>
      <c r="G39" s="100"/>
    </row>
    <row r="40" spans="2:7" x14ac:dyDescent="0.25">
      <c r="B40" s="100"/>
      <c r="C40" s="100"/>
      <c r="D40" s="100"/>
      <c r="E40" s="100"/>
      <c r="F40" s="100"/>
      <c r="G40" s="100"/>
    </row>
    <row r="41" spans="2:7" x14ac:dyDescent="0.25">
      <c r="B41" s="100"/>
      <c r="C41" s="100"/>
      <c r="D41" s="100"/>
      <c r="E41" s="100"/>
      <c r="F41" s="100"/>
      <c r="G41" s="100"/>
    </row>
    <row r="42" spans="2:7" x14ac:dyDescent="0.25">
      <c r="B42" s="100"/>
      <c r="C42" s="100"/>
      <c r="D42" s="100"/>
      <c r="E42" s="100"/>
      <c r="F42" s="100"/>
      <c r="G42" s="100"/>
    </row>
    <row r="43" spans="2:7" x14ac:dyDescent="0.25">
      <c r="B43" s="141" t="s">
        <v>193</v>
      </c>
      <c r="C43" s="141"/>
      <c r="D43" s="141"/>
      <c r="E43" s="141"/>
      <c r="F43" s="141"/>
      <c r="G43" s="141"/>
    </row>
    <row r="44" spans="2:7" x14ac:dyDescent="0.25">
      <c r="B44" s="141"/>
      <c r="C44" s="141"/>
      <c r="D44" s="141"/>
      <c r="E44" s="141"/>
      <c r="F44" s="141"/>
      <c r="G44" s="141"/>
    </row>
    <row r="45" spans="2:7" x14ac:dyDescent="0.25">
      <c r="B45" s="141"/>
      <c r="C45" s="141"/>
      <c r="D45" s="141"/>
      <c r="E45" s="141"/>
      <c r="F45" s="141"/>
      <c r="G45" s="141"/>
    </row>
    <row r="46" spans="2:7" x14ac:dyDescent="0.25">
      <c r="B46" s="100"/>
      <c r="C46" s="100"/>
      <c r="D46" s="100"/>
      <c r="E46" s="100"/>
      <c r="F46" s="100"/>
      <c r="G46" s="100"/>
    </row>
    <row r="47" spans="2:7" x14ac:dyDescent="0.25">
      <c r="B47" s="100"/>
      <c r="C47" s="100"/>
      <c r="D47" s="100"/>
      <c r="E47" s="100"/>
      <c r="F47" s="100"/>
      <c r="G47" s="100"/>
    </row>
    <row r="48" spans="2:7" x14ac:dyDescent="0.25">
      <c r="B48" s="100"/>
      <c r="C48" s="100"/>
      <c r="D48" s="100"/>
      <c r="E48" s="100"/>
      <c r="F48" s="100"/>
      <c r="G48" s="100"/>
    </row>
    <row r="49" spans="2:7" ht="71.25" customHeight="1" x14ac:dyDescent="0.25">
      <c r="B49" s="100"/>
      <c r="C49" s="100"/>
      <c r="D49" s="100"/>
      <c r="E49" s="100"/>
      <c r="F49" s="100"/>
      <c r="G49" s="100"/>
    </row>
    <row r="50" spans="2:7" x14ac:dyDescent="0.25">
      <c r="B50" s="100" t="s">
        <v>214</v>
      </c>
      <c r="C50" s="100"/>
      <c r="D50" s="100"/>
      <c r="E50" s="100"/>
      <c r="F50" s="100"/>
      <c r="G50" s="100"/>
    </row>
    <row r="51" spans="2:7" x14ac:dyDescent="0.25">
      <c r="B51" s="100"/>
      <c r="C51" s="100"/>
      <c r="D51" s="100"/>
      <c r="E51" s="100"/>
      <c r="F51" s="100"/>
      <c r="G51" s="100"/>
    </row>
    <row r="52" spans="2:7" ht="192" customHeight="1" x14ac:dyDescent="0.25">
      <c r="B52" s="100"/>
      <c r="C52" s="100"/>
      <c r="D52" s="100"/>
      <c r="E52" s="100"/>
      <c r="F52" s="100"/>
      <c r="G52" s="100"/>
    </row>
    <row r="53" spans="2:7" x14ac:dyDescent="0.25">
      <c r="B53" s="142" t="s">
        <v>218</v>
      </c>
      <c r="C53" s="142"/>
      <c r="D53" s="142"/>
      <c r="E53" s="142"/>
      <c r="F53" s="142"/>
      <c r="G53" s="142"/>
    </row>
    <row r="54" spans="2:7" x14ac:dyDescent="0.25">
      <c r="B54" s="142"/>
      <c r="C54" s="142"/>
      <c r="D54" s="142"/>
      <c r="E54" s="142"/>
      <c r="F54" s="142"/>
      <c r="G54" s="142"/>
    </row>
    <row r="55" spans="2:7" x14ac:dyDescent="0.25">
      <c r="B55" s="142"/>
      <c r="C55" s="142"/>
      <c r="D55" s="142"/>
      <c r="E55" s="142"/>
      <c r="F55" s="142"/>
      <c r="G55" s="142"/>
    </row>
    <row r="56" spans="2:7" x14ac:dyDescent="0.25">
      <c r="B56" s="100"/>
      <c r="C56" s="100"/>
      <c r="D56" s="100"/>
      <c r="E56" s="100"/>
      <c r="F56" s="100"/>
      <c r="G56" s="100"/>
    </row>
    <row r="57" spans="2:7" x14ac:dyDescent="0.25">
      <c r="B57" s="100"/>
      <c r="C57" s="100"/>
      <c r="D57" s="100"/>
      <c r="E57" s="100"/>
      <c r="F57" s="100"/>
      <c r="G57" s="100"/>
    </row>
    <row r="58" spans="2:7" x14ac:dyDescent="0.25">
      <c r="B58" s="100"/>
      <c r="C58" s="100"/>
      <c r="D58" s="100"/>
      <c r="E58" s="100"/>
      <c r="F58" s="100"/>
      <c r="G58" s="100"/>
    </row>
    <row r="59" spans="2:7" x14ac:dyDescent="0.25">
      <c r="B59" s="100"/>
      <c r="C59" s="100"/>
      <c r="D59" s="100"/>
      <c r="E59" s="100"/>
      <c r="F59" s="100"/>
      <c r="G59" s="100"/>
    </row>
    <row r="60" spans="2:7" x14ac:dyDescent="0.25">
      <c r="B60" s="100"/>
      <c r="C60" s="100"/>
      <c r="D60" s="100"/>
      <c r="E60" s="100"/>
      <c r="F60" s="100"/>
      <c r="G60" s="100"/>
    </row>
    <row r="61" spans="2:7" x14ac:dyDescent="0.25">
      <c r="B61" s="100"/>
      <c r="C61" s="100"/>
      <c r="D61" s="100"/>
      <c r="E61" s="100"/>
      <c r="F61" s="100"/>
      <c r="G61" s="100"/>
    </row>
    <row r="62" spans="2:7" x14ac:dyDescent="0.25">
      <c r="B62" s="100"/>
      <c r="C62" s="100"/>
      <c r="D62" s="100"/>
      <c r="E62" s="100"/>
      <c r="F62" s="100"/>
      <c r="G62" s="100"/>
    </row>
    <row r="63" spans="2:7" x14ac:dyDescent="0.25">
      <c r="B63" s="100"/>
      <c r="C63" s="100"/>
      <c r="D63" s="100"/>
      <c r="E63" s="100"/>
      <c r="F63" s="100"/>
      <c r="G63" s="100"/>
    </row>
    <row r="64" spans="2:7" x14ac:dyDescent="0.25">
      <c r="B64" s="100"/>
      <c r="C64" s="100"/>
      <c r="D64" s="100"/>
      <c r="E64" s="100"/>
      <c r="F64" s="100"/>
      <c r="G64" s="100"/>
    </row>
    <row r="65" spans="2:21" x14ac:dyDescent="0.25">
      <c r="B65" s="100"/>
      <c r="C65" s="100"/>
      <c r="D65" s="100"/>
      <c r="E65" s="100"/>
      <c r="F65" s="100"/>
      <c r="G65" s="100"/>
    </row>
    <row r="66" spans="2:21" ht="34.5" customHeight="1" x14ac:dyDescent="0.25">
      <c r="B66" s="143" t="s">
        <v>215</v>
      </c>
      <c r="C66" s="143"/>
      <c r="D66" s="143"/>
      <c r="E66" s="143"/>
      <c r="F66" s="143"/>
      <c r="G66" s="143"/>
    </row>
    <row r="67" spans="2:21" ht="249.75" customHeight="1" x14ac:dyDescent="0.25">
      <c r="B67" s="100"/>
      <c r="C67" s="100"/>
      <c r="D67" s="100"/>
      <c r="E67" s="100"/>
      <c r="F67" s="100"/>
      <c r="G67" s="100"/>
    </row>
    <row r="68" spans="2:21" x14ac:dyDescent="0.25">
      <c r="B68" s="100"/>
      <c r="C68" s="100"/>
      <c r="D68" s="100"/>
      <c r="E68" s="100"/>
      <c r="F68" s="100"/>
      <c r="G68" s="100"/>
    </row>
    <row r="69" spans="2:21" x14ac:dyDescent="0.25">
      <c r="B69" s="100"/>
      <c r="C69" s="100"/>
      <c r="D69" s="100"/>
      <c r="E69" s="100"/>
      <c r="F69" s="100"/>
      <c r="G69" s="100"/>
    </row>
    <row r="70" spans="2:21" x14ac:dyDescent="0.25">
      <c r="B70" s="100"/>
      <c r="C70" s="100"/>
      <c r="D70" s="100"/>
      <c r="E70" s="100"/>
      <c r="F70" s="100"/>
      <c r="G70" s="100"/>
    </row>
    <row r="71" spans="2:21" x14ac:dyDescent="0.25">
      <c r="B71" s="100"/>
      <c r="C71" s="100"/>
      <c r="D71" s="100"/>
      <c r="E71" s="100"/>
      <c r="F71" s="100"/>
      <c r="G71" s="100"/>
    </row>
    <row r="73" spans="2:21" ht="11.25" customHeight="1" x14ac:dyDescent="0.25">
      <c r="B73" s="139" t="s">
        <v>19</v>
      </c>
      <c r="C73" s="139"/>
      <c r="D73" s="139"/>
      <c r="E73" s="139"/>
      <c r="F73" s="139"/>
      <c r="G73" s="139"/>
      <c r="H73" s="28"/>
      <c r="I73" s="28"/>
      <c r="J73" s="28"/>
      <c r="K73" s="28"/>
      <c r="L73" s="28"/>
      <c r="M73" s="28"/>
      <c r="N73" s="28"/>
      <c r="O73" s="28"/>
      <c r="P73" s="28"/>
      <c r="Q73" s="28"/>
      <c r="R73" s="28"/>
      <c r="S73" s="28"/>
      <c r="T73" s="28"/>
      <c r="U73" s="28"/>
    </row>
    <row r="74" spans="2:21" ht="11.25" customHeight="1" x14ac:dyDescent="0.25">
      <c r="B74" s="139" t="s">
        <v>38</v>
      </c>
      <c r="C74" s="139"/>
      <c r="D74" s="139"/>
      <c r="E74" s="139"/>
      <c r="F74" s="139"/>
      <c r="G74" s="139"/>
      <c r="H74" s="28"/>
      <c r="I74" s="28"/>
      <c r="J74" s="28"/>
      <c r="K74" s="28"/>
      <c r="L74" s="28"/>
      <c r="M74" s="28"/>
      <c r="N74" s="28"/>
      <c r="O74" s="28"/>
      <c r="P74" s="28"/>
      <c r="Q74" s="28"/>
      <c r="R74" s="28"/>
      <c r="S74" s="28"/>
      <c r="T74" s="28"/>
      <c r="U74" s="28"/>
    </row>
    <row r="75" spans="2:21" ht="11.25" customHeight="1" x14ac:dyDescent="0.25">
      <c r="B75" s="139" t="s">
        <v>245</v>
      </c>
      <c r="C75" s="139"/>
      <c r="D75" s="139"/>
      <c r="E75" s="139"/>
      <c r="F75" s="139"/>
      <c r="G75" s="139"/>
      <c r="H75" s="28"/>
      <c r="I75" s="28"/>
      <c r="J75" s="28"/>
      <c r="K75" s="28"/>
      <c r="L75" s="28"/>
      <c r="M75" s="28"/>
      <c r="N75" s="28"/>
      <c r="O75" s="28"/>
      <c r="P75" s="28"/>
      <c r="Q75" s="28"/>
      <c r="R75" s="28"/>
      <c r="S75" s="28"/>
      <c r="T75" s="28"/>
      <c r="U75" s="28"/>
    </row>
    <row r="76" spans="2:21" ht="11.25" customHeight="1" x14ac:dyDescent="0.25">
      <c r="B76" s="140" t="s">
        <v>196</v>
      </c>
      <c r="C76" s="140"/>
      <c r="D76" s="140"/>
      <c r="E76" s="140"/>
      <c r="F76" s="140"/>
      <c r="G76" s="140"/>
      <c r="H76" s="109"/>
      <c r="I76" s="109"/>
      <c r="J76" s="109"/>
      <c r="K76" s="109"/>
      <c r="L76" s="109"/>
      <c r="M76" s="109"/>
      <c r="N76" s="109"/>
      <c r="O76" s="109"/>
      <c r="P76" s="109"/>
      <c r="Q76" s="109"/>
      <c r="R76" s="109"/>
      <c r="S76" s="109"/>
      <c r="T76" s="109"/>
      <c r="U76" s="109"/>
    </row>
  </sheetData>
  <sheetProtection sheet="1" objects="1" scenarios="1"/>
  <mergeCells count="13">
    <mergeCell ref="A1:H1"/>
    <mergeCell ref="P1:S1"/>
    <mergeCell ref="A2:H2"/>
    <mergeCell ref="B5:G5"/>
    <mergeCell ref="B17:G18"/>
    <mergeCell ref="B73:G73"/>
    <mergeCell ref="B74:G74"/>
    <mergeCell ref="B75:G75"/>
    <mergeCell ref="B76:G76"/>
    <mergeCell ref="B28:G29"/>
    <mergeCell ref="B43:G45"/>
    <mergeCell ref="B53:G55"/>
    <mergeCell ref="B66:G66"/>
  </mergeCells>
  <hyperlinks>
    <hyperlink ref="B76:U76" r:id="rId1" display="For updates on this tool, please visit http://www.efc.sog.unc.edu and look under Resources --&gt; Tools"/>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17"/>
  <sheetViews>
    <sheetView workbookViewId="0">
      <selection activeCell="A7" sqref="A7"/>
    </sheetView>
  </sheetViews>
  <sheetFormatPr defaultColWidth="9.140625" defaultRowHeight="15" x14ac:dyDescent="0.25"/>
  <cols>
    <col min="1" max="1" width="19.5703125" style="6" customWidth="1"/>
    <col min="2" max="2" width="35.140625" style="6" bestFit="1" customWidth="1"/>
    <col min="3" max="12" width="20.5703125" style="6" customWidth="1"/>
    <col min="13" max="16384" width="9.140625" style="6"/>
  </cols>
  <sheetData>
    <row r="1" spans="1:12" ht="15.75" thickBot="1" x14ac:dyDescent="0.3">
      <c r="A1" s="10" t="s">
        <v>24</v>
      </c>
      <c r="C1" s="60">
        <f>SUM(C2:L2)</f>
        <v>0</v>
      </c>
    </row>
    <row r="2" spans="1:12" ht="14.45" hidden="1" x14ac:dyDescent="0.3">
      <c r="A2" s="26" t="s">
        <v>48</v>
      </c>
      <c r="B2" s="37"/>
      <c r="C2" s="24">
        <f>IF(C5=TRUE,C11*C12+C13+C17*C16,0)</f>
        <v>0</v>
      </c>
      <c r="D2" s="24">
        <f t="shared" ref="D2:L2" si="0">IF(D5=TRUE,D11*D12+D13+D17*D18,0)</f>
        <v>0</v>
      </c>
      <c r="E2" s="24">
        <f t="shared" si="0"/>
        <v>0</v>
      </c>
      <c r="F2" s="24">
        <f t="shared" si="0"/>
        <v>0</v>
      </c>
      <c r="G2" s="24">
        <f t="shared" si="0"/>
        <v>0</v>
      </c>
      <c r="H2" s="24">
        <f t="shared" si="0"/>
        <v>0</v>
      </c>
      <c r="I2" s="24">
        <f t="shared" si="0"/>
        <v>0</v>
      </c>
      <c r="J2" s="24">
        <f t="shared" si="0"/>
        <v>0</v>
      </c>
      <c r="K2" s="24">
        <f t="shared" si="0"/>
        <v>0</v>
      </c>
      <c r="L2" s="24">
        <f t="shared" si="0"/>
        <v>0</v>
      </c>
    </row>
    <row r="3" spans="1:12" ht="14.45" hidden="1" x14ac:dyDescent="0.3">
      <c r="A3" s="26" t="s">
        <v>49</v>
      </c>
      <c r="B3" s="37"/>
      <c r="C3" s="27" t="b">
        <f>IF(TotalEntities&gt;=1,TRUE,FALSE)</f>
        <v>1</v>
      </c>
      <c r="D3" s="27" t="b">
        <f>IF(TotalEntities&gt;=2,TRUE,FALSE)</f>
        <v>1</v>
      </c>
      <c r="E3" s="27" t="b">
        <f>IF(TotalEntities&gt;=3,TRUE,FALSE)</f>
        <v>1</v>
      </c>
      <c r="F3" s="27" t="b">
        <f>IF(TotalEntities&gt;=4,TRUE,FALSE)</f>
        <v>1</v>
      </c>
      <c r="G3" s="27" t="b">
        <f>IF(TotalEntities&gt;=5,TRUE,FALSE)</f>
        <v>1</v>
      </c>
      <c r="H3" s="27" t="b">
        <f>IF(TotalEntities&gt;=6,TRUE,FALSE)</f>
        <v>1</v>
      </c>
      <c r="I3" s="27" t="b">
        <f>IF(TotalEntities&gt;=7,TRUE,FALSE)</f>
        <v>0</v>
      </c>
      <c r="J3" s="27" t="b">
        <f>IF(TotalEntities&gt;=8,TRUE,FALSE)</f>
        <v>0</v>
      </c>
      <c r="K3" s="27" t="b">
        <f>IF(TotalEntities&gt;=9,TRUE,FALSE)</f>
        <v>0</v>
      </c>
      <c r="L3" s="27" t="b">
        <f>IF(TotalEntities&gt;=10,TRUE,FALSE)</f>
        <v>0</v>
      </c>
    </row>
    <row r="4" spans="1:12" ht="14.45" hidden="1" x14ac:dyDescent="0.3">
      <c r="A4" s="26" t="s">
        <v>50</v>
      </c>
      <c r="B4" s="37">
        <v>7</v>
      </c>
      <c r="C4" s="27" t="b">
        <f>VLOOKUP(GettingStarted!D8,Admin!$A$27:$J$34,$B$4, FALSE)</f>
        <v>1</v>
      </c>
      <c r="D4" s="27" t="b">
        <f>VLOOKUP(GettingStarted!D9,Admin!$A$27:$J$34,$B$4, FALSE)</f>
        <v>1</v>
      </c>
      <c r="E4" s="27" t="b">
        <f>VLOOKUP(GettingStarted!D10,Admin!$A$27:$J$34,$B$4, FALSE)</f>
        <v>1</v>
      </c>
      <c r="F4" s="27" t="b">
        <f>VLOOKUP(GettingStarted!D11,Admin!$A$27:$J$34,$B$4, FALSE)</f>
        <v>0</v>
      </c>
      <c r="G4" s="27" t="b">
        <f>VLOOKUP(GettingStarted!D12,Admin!$A$27:$J$34,$B$4, FALSE)</f>
        <v>0</v>
      </c>
      <c r="H4" s="27" t="b">
        <f>VLOOKUP(GettingStarted!D13,Admin!$A$27:$J$34,$B$4, FALSE)</f>
        <v>0</v>
      </c>
      <c r="I4" s="27" t="e">
        <f>VLOOKUP(GettingStarted!D14,Admin!$A$27:$J$34,$B$4, FALSE)</f>
        <v>#N/A</v>
      </c>
      <c r="J4" s="27" t="e">
        <f>VLOOKUP(GettingStarted!D15,Admin!$A$27:$J$34,$B$4, FALSE)</f>
        <v>#N/A</v>
      </c>
      <c r="K4" s="27" t="e">
        <f>VLOOKUP(GettingStarted!D16,Admin!$A$27:$J$34,$B$4, FALSE)</f>
        <v>#N/A</v>
      </c>
      <c r="L4" s="27" t="e">
        <f>VLOOKUP(GettingStarted!D17,Admin!$A$27:$J$34,$B$4, FALSE)</f>
        <v>#N/A</v>
      </c>
    </row>
    <row r="5" spans="1:12" ht="14.45" hidden="1" x14ac:dyDescent="0.3">
      <c r="A5" s="26" t="s">
        <v>58</v>
      </c>
      <c r="B5" s="37"/>
      <c r="C5" s="27" t="b">
        <f>IF(C3=TRUE,IF(C4=TRUE,TRUE,FALSE),FALSE)</f>
        <v>1</v>
      </c>
      <c r="D5" s="27" t="b">
        <f t="shared" ref="D5:L5" si="1">IF(D3=TRUE,IF(D4=TRUE,TRUE,FALSE),FALSE)</f>
        <v>1</v>
      </c>
      <c r="E5" s="27" t="b">
        <f t="shared" si="1"/>
        <v>1</v>
      </c>
      <c r="F5" s="27" t="b">
        <f t="shared" si="1"/>
        <v>0</v>
      </c>
      <c r="G5" s="27" t="b">
        <f t="shared" si="1"/>
        <v>0</v>
      </c>
      <c r="H5" s="27" t="b">
        <f t="shared" si="1"/>
        <v>0</v>
      </c>
      <c r="I5" s="27" t="b">
        <f t="shared" si="1"/>
        <v>0</v>
      </c>
      <c r="J5" s="27" t="b">
        <f t="shared" si="1"/>
        <v>0</v>
      </c>
      <c r="K5" s="27" t="b">
        <f t="shared" si="1"/>
        <v>0</v>
      </c>
      <c r="L5" s="27" t="b">
        <f t="shared" si="1"/>
        <v>0</v>
      </c>
    </row>
    <row r="6" spans="1:12" ht="14.45" hidden="1" x14ac:dyDescent="0.3">
      <c r="A6" s="26" t="s">
        <v>60</v>
      </c>
      <c r="B6" s="37"/>
      <c r="C6" s="27" t="b">
        <f>IF(C3=TRUE,IF(C5=FALSE,TRUE,FALSE),FALSE)</f>
        <v>0</v>
      </c>
      <c r="D6" s="27" t="b">
        <f t="shared" ref="D6:L6" si="2">IF(D3=TRUE,IF(D5=FALSE,TRUE,FALSE),FALSE)</f>
        <v>0</v>
      </c>
      <c r="E6" s="27" t="b">
        <f t="shared" si="2"/>
        <v>0</v>
      </c>
      <c r="F6" s="27" t="b">
        <f t="shared" si="2"/>
        <v>1</v>
      </c>
      <c r="G6" s="27" t="b">
        <f t="shared" si="2"/>
        <v>1</v>
      </c>
      <c r="H6" s="27" t="b">
        <f t="shared" si="2"/>
        <v>1</v>
      </c>
      <c r="I6" s="27" t="b">
        <f t="shared" si="2"/>
        <v>0</v>
      </c>
      <c r="J6" s="27" t="b">
        <f t="shared" si="2"/>
        <v>0</v>
      </c>
      <c r="K6" s="27" t="b">
        <f t="shared" si="2"/>
        <v>0</v>
      </c>
      <c r="L6" s="27" t="b">
        <f t="shared" si="2"/>
        <v>0</v>
      </c>
    </row>
    <row r="7" spans="1:12" ht="14.45" x14ac:dyDescent="0.3">
      <c r="A7" s="96"/>
      <c r="B7" s="37"/>
      <c r="C7" s="27"/>
      <c r="D7" s="27"/>
      <c r="E7" s="27"/>
      <c r="F7" s="27"/>
      <c r="G7" s="27"/>
      <c r="H7" s="27"/>
      <c r="I7" s="27"/>
      <c r="J7" s="27"/>
      <c r="K7" s="27"/>
      <c r="L7" s="27"/>
    </row>
    <row r="8" spans="1:12" s="130" customFormat="1" ht="45" customHeight="1" x14ac:dyDescent="0.3">
      <c r="A8" s="129" t="s">
        <v>47</v>
      </c>
      <c r="C8" s="131" t="str">
        <f>IF(C3=TRUE,entity1,"")</f>
        <v>Oxbow County</v>
      </c>
      <c r="D8" s="131" t="str">
        <f>IF(D3=TRUE,entity2,"")</f>
        <v>City of Pool</v>
      </c>
      <c r="E8" s="131" t="str">
        <f>IF(E3=TRUE,entity3,"")</f>
        <v>City of Riffle</v>
      </c>
      <c r="F8" s="131" t="str">
        <f>IF(F3=TRUE,entity4,"")</f>
        <v>Wishful Watershed Council</v>
      </c>
      <c r="G8" s="131" t="str">
        <f>IF(G3=TRUE,entity5,"")</f>
        <v>Council of Government</v>
      </c>
      <c r="H8" s="131" t="str">
        <f>IF(H3=TRUE,entity6,"")</f>
        <v>Soil &amp; Water Conservation</v>
      </c>
      <c r="I8" s="131" t="str">
        <f>IF(I3=TRUE,entity7,"")</f>
        <v/>
      </c>
      <c r="J8" s="131" t="str">
        <f>IF(J3=TRUE,entity8,"")</f>
        <v/>
      </c>
      <c r="K8" s="131" t="str">
        <f>IF(K3=TRUE,entity9,"")</f>
        <v/>
      </c>
      <c r="L8" s="131" t="str">
        <f>IF(L3=TRUE,entity10,"")</f>
        <v/>
      </c>
    </row>
    <row r="9" spans="1:12" s="88" customFormat="1" ht="48.75" customHeight="1" x14ac:dyDescent="0.3">
      <c r="A9" s="87"/>
      <c r="C9" s="86" t="str">
        <f>GettingStarted!D8 &amp; "s cannot raise " &amp; PROPER($A$1)</f>
        <v>County Governments cannot raise Permit Fees</v>
      </c>
      <c r="D9" s="86" t="str">
        <f>GettingStarted!D9 &amp; "s cannot raise " &amp; PROPER($A$1)</f>
        <v>Municipal Governments cannot raise Permit Fees</v>
      </c>
      <c r="E9" s="86" t="str">
        <f>GettingStarted!D10 &amp; "s cannot raise " &amp; PROPER($A$1)</f>
        <v>Municipal Governments cannot raise Permit Fees</v>
      </c>
      <c r="F9" s="86" t="str">
        <f>GettingStarted!D11 &amp; "s cannot raise " &amp; PROPER($A$1)</f>
        <v>Watershed Councils cannot raise Permit Fees</v>
      </c>
      <c r="G9" s="86" t="str">
        <f>GettingStarted!D12 &amp; "s cannot raise " &amp; PROPER($A$1)</f>
        <v>Nonprofits cannot raise Permit Fees</v>
      </c>
      <c r="H9" s="86" t="str">
        <f>GettingStarted!D13 &amp; "s cannot raise " &amp; PROPER($A$1)</f>
        <v>Nonprofits cannot raise Permit Fees</v>
      </c>
      <c r="I9" s="86" t="str">
        <f>GettingStarted!D14 &amp; "s cannot raise " &amp; PROPER($A$1)</f>
        <v>s cannot raise Permit Fees</v>
      </c>
      <c r="J9" s="86" t="str">
        <f>GettingStarted!D15 &amp; "s cannot raise " &amp; PROPER($A$1)</f>
        <v>s cannot raise Permit Fees</v>
      </c>
      <c r="K9" s="86" t="str">
        <f>GettingStarted!D16 &amp; "s cannot raise " &amp; PROPER($A$1)</f>
        <v>s cannot raise Permit Fees</v>
      </c>
      <c r="L9" s="86" t="str">
        <f>GettingStarted!D17 &amp; "s cannot raise " &amp; PROPER($A$1)</f>
        <v>s cannot raise Permit Fees</v>
      </c>
    </row>
    <row r="10" spans="1:12" x14ac:dyDescent="0.25">
      <c r="A10" s="158" t="s">
        <v>76</v>
      </c>
      <c r="B10" s="158"/>
    </row>
    <row r="11" spans="1:12" x14ac:dyDescent="0.25">
      <c r="B11" s="6" t="s">
        <v>77</v>
      </c>
      <c r="C11" s="69"/>
      <c r="D11" s="69"/>
      <c r="E11" s="69"/>
      <c r="F11" s="69"/>
      <c r="G11" s="69"/>
      <c r="H11" s="69"/>
      <c r="I11" s="69"/>
      <c r="J11" s="69"/>
      <c r="K11" s="69"/>
      <c r="L11" s="69"/>
    </row>
    <row r="12" spans="1:12" x14ac:dyDescent="0.25">
      <c r="B12" s="6" t="s">
        <v>104</v>
      </c>
      <c r="C12" s="78"/>
      <c r="D12" s="78"/>
      <c r="E12" s="78"/>
      <c r="F12" s="78"/>
      <c r="G12" s="78"/>
      <c r="H12" s="78"/>
      <c r="I12" s="78"/>
      <c r="J12" s="78"/>
      <c r="K12" s="78"/>
      <c r="L12" s="78"/>
    </row>
    <row r="13" spans="1:12" x14ac:dyDescent="0.25">
      <c r="A13" s="36" t="s">
        <v>17</v>
      </c>
      <c r="B13" s="6" t="s">
        <v>105</v>
      </c>
      <c r="C13" s="69"/>
      <c r="D13" s="69"/>
      <c r="E13" s="69"/>
      <c r="F13" s="69"/>
      <c r="G13" s="69"/>
      <c r="H13" s="69"/>
      <c r="I13" s="69"/>
      <c r="J13" s="69"/>
      <c r="K13" s="69"/>
      <c r="L13" s="69"/>
    </row>
    <row r="14" spans="1:12" x14ac:dyDescent="0.25">
      <c r="C14" s="15"/>
    </row>
    <row r="15" spans="1:12" x14ac:dyDescent="0.25">
      <c r="A15" s="37" t="s">
        <v>127</v>
      </c>
      <c r="C15" s="15"/>
    </row>
    <row r="16" spans="1:12" x14ac:dyDescent="0.25">
      <c r="B16" s="6" t="s">
        <v>78</v>
      </c>
      <c r="C16" s="66"/>
      <c r="D16" s="66"/>
      <c r="E16" s="66"/>
      <c r="F16" s="66"/>
      <c r="G16" s="66"/>
      <c r="H16" s="66"/>
      <c r="I16" s="66"/>
      <c r="J16" s="66"/>
      <c r="K16" s="66"/>
      <c r="L16" s="66"/>
    </row>
    <row r="17" spans="2:12" x14ac:dyDescent="0.25">
      <c r="B17" s="6" t="s">
        <v>79</v>
      </c>
      <c r="C17" s="69"/>
      <c r="D17" s="69"/>
      <c r="E17" s="69"/>
      <c r="F17" s="69"/>
      <c r="G17" s="69"/>
      <c r="H17" s="69"/>
      <c r="I17" s="69"/>
      <c r="J17" s="69"/>
      <c r="K17" s="69"/>
      <c r="L17" s="69"/>
    </row>
  </sheetData>
  <sheetProtection password="9D10" sheet="1" objects="1" scenarios="1" selectLockedCells="1"/>
  <mergeCells count="1">
    <mergeCell ref="A10:B10"/>
  </mergeCells>
  <conditionalFormatting sqref="C11">
    <cfRule type="expression" dxfId="168" priority="65">
      <formula>C$5</formula>
    </cfRule>
  </conditionalFormatting>
  <conditionalFormatting sqref="C12:C13">
    <cfRule type="expression" dxfId="167" priority="64">
      <formula>C$5</formula>
    </cfRule>
  </conditionalFormatting>
  <conditionalFormatting sqref="C16">
    <cfRule type="expression" dxfId="166" priority="63">
      <formula>C$5</formula>
    </cfRule>
  </conditionalFormatting>
  <conditionalFormatting sqref="C17">
    <cfRule type="expression" dxfId="165" priority="61">
      <formula>C$5</formula>
    </cfRule>
  </conditionalFormatting>
  <conditionalFormatting sqref="C8">
    <cfRule type="expression" dxfId="164" priority="71">
      <formula>C$3</formula>
    </cfRule>
  </conditionalFormatting>
  <conditionalFormatting sqref="C9">
    <cfRule type="expression" dxfId="163" priority="68">
      <formula>C$6</formula>
    </cfRule>
  </conditionalFormatting>
  <conditionalFormatting sqref="D8">
    <cfRule type="expression" dxfId="162" priority="54">
      <formula>D$3</formula>
    </cfRule>
  </conditionalFormatting>
  <conditionalFormatting sqref="E8">
    <cfRule type="expression" dxfId="161" priority="53">
      <formula>E$3</formula>
    </cfRule>
  </conditionalFormatting>
  <conditionalFormatting sqref="F8">
    <cfRule type="expression" dxfId="160" priority="52">
      <formula>F$3</formula>
    </cfRule>
  </conditionalFormatting>
  <conditionalFormatting sqref="G8">
    <cfRule type="expression" dxfId="159" priority="51">
      <formula>G$3</formula>
    </cfRule>
  </conditionalFormatting>
  <conditionalFormatting sqref="H8">
    <cfRule type="expression" dxfId="158" priority="50">
      <formula>H$3</formula>
    </cfRule>
  </conditionalFormatting>
  <conditionalFormatting sqref="I8">
    <cfRule type="expression" dxfId="157" priority="49">
      <formula>I$3</formula>
    </cfRule>
  </conditionalFormatting>
  <conditionalFormatting sqref="J8">
    <cfRule type="expression" dxfId="156" priority="48">
      <formula>J$3</formula>
    </cfRule>
  </conditionalFormatting>
  <conditionalFormatting sqref="K8">
    <cfRule type="expression" dxfId="155" priority="47">
      <formula>K$3</formula>
    </cfRule>
  </conditionalFormatting>
  <conditionalFormatting sqref="L8">
    <cfRule type="expression" dxfId="154" priority="46">
      <formula>L$3</formula>
    </cfRule>
  </conditionalFormatting>
  <conditionalFormatting sqref="D9">
    <cfRule type="expression" dxfId="153" priority="45">
      <formula>D$6</formula>
    </cfRule>
  </conditionalFormatting>
  <conditionalFormatting sqref="E9">
    <cfRule type="expression" dxfId="152" priority="44">
      <formula>E$6</formula>
    </cfRule>
  </conditionalFormatting>
  <conditionalFormatting sqref="F9">
    <cfRule type="expression" dxfId="151" priority="43">
      <formula>F$6</formula>
    </cfRule>
  </conditionalFormatting>
  <conditionalFormatting sqref="G9">
    <cfRule type="expression" dxfId="150" priority="42">
      <formula>G$6</formula>
    </cfRule>
  </conditionalFormatting>
  <conditionalFormatting sqref="H9">
    <cfRule type="expression" dxfId="149" priority="41">
      <formula>H$6</formula>
    </cfRule>
  </conditionalFormatting>
  <conditionalFormatting sqref="I9">
    <cfRule type="expression" dxfId="148" priority="40">
      <formula>I$6</formula>
    </cfRule>
  </conditionalFormatting>
  <conditionalFormatting sqref="J9">
    <cfRule type="expression" dxfId="147" priority="39">
      <formula>J$6</formula>
    </cfRule>
  </conditionalFormatting>
  <conditionalFormatting sqref="K9">
    <cfRule type="expression" dxfId="146" priority="38">
      <formula>K$6</formula>
    </cfRule>
  </conditionalFormatting>
  <conditionalFormatting sqref="L9">
    <cfRule type="expression" dxfId="145" priority="37">
      <formula>L$6</formula>
    </cfRule>
  </conditionalFormatting>
  <conditionalFormatting sqref="D11">
    <cfRule type="expression" dxfId="144" priority="36">
      <formula>D$5</formula>
    </cfRule>
  </conditionalFormatting>
  <conditionalFormatting sqref="D12:D13">
    <cfRule type="expression" dxfId="143" priority="35">
      <formula>D$5</formula>
    </cfRule>
  </conditionalFormatting>
  <conditionalFormatting sqref="D16">
    <cfRule type="expression" dxfId="142" priority="34">
      <formula>D$5</formula>
    </cfRule>
  </conditionalFormatting>
  <conditionalFormatting sqref="D17">
    <cfRule type="expression" dxfId="141" priority="33">
      <formula>D$5</formula>
    </cfRule>
  </conditionalFormatting>
  <conditionalFormatting sqref="E11">
    <cfRule type="expression" dxfId="140" priority="32">
      <formula>E$5</formula>
    </cfRule>
  </conditionalFormatting>
  <conditionalFormatting sqref="E12:E13">
    <cfRule type="expression" dxfId="139" priority="31">
      <formula>E$5</formula>
    </cfRule>
  </conditionalFormatting>
  <conditionalFormatting sqref="F11">
    <cfRule type="expression" dxfId="138" priority="30">
      <formula>F$5</formula>
    </cfRule>
  </conditionalFormatting>
  <conditionalFormatting sqref="F12:F13">
    <cfRule type="expression" dxfId="137" priority="29">
      <formula>F$5</formula>
    </cfRule>
  </conditionalFormatting>
  <conditionalFormatting sqref="G11">
    <cfRule type="expression" dxfId="136" priority="28">
      <formula>G$5</formula>
    </cfRule>
  </conditionalFormatting>
  <conditionalFormatting sqref="G12:G13">
    <cfRule type="expression" dxfId="135" priority="27">
      <formula>G$5</formula>
    </cfRule>
  </conditionalFormatting>
  <conditionalFormatting sqref="H11">
    <cfRule type="expression" dxfId="134" priority="26">
      <formula>H$5</formula>
    </cfRule>
  </conditionalFormatting>
  <conditionalFormatting sqref="H12:H13">
    <cfRule type="expression" dxfId="133" priority="25">
      <formula>H$5</formula>
    </cfRule>
  </conditionalFormatting>
  <conditionalFormatting sqref="I11">
    <cfRule type="expression" dxfId="132" priority="24">
      <formula>I$5</formula>
    </cfRule>
  </conditionalFormatting>
  <conditionalFormatting sqref="I12:I13">
    <cfRule type="expression" dxfId="131" priority="23">
      <formula>I$5</formula>
    </cfRule>
  </conditionalFormatting>
  <conditionalFormatting sqref="J11">
    <cfRule type="expression" dxfId="130" priority="22">
      <formula>J$5</formula>
    </cfRule>
  </conditionalFormatting>
  <conditionalFormatting sqref="J12:J13">
    <cfRule type="expression" dxfId="129" priority="21">
      <formula>J$5</formula>
    </cfRule>
  </conditionalFormatting>
  <conditionalFormatting sqref="K11">
    <cfRule type="expression" dxfId="128" priority="20">
      <formula>K$5</formula>
    </cfRule>
  </conditionalFormatting>
  <conditionalFormatting sqref="K12:K13">
    <cfRule type="expression" dxfId="127" priority="19">
      <formula>K$5</formula>
    </cfRule>
  </conditionalFormatting>
  <conditionalFormatting sqref="L11">
    <cfRule type="expression" dxfId="126" priority="18">
      <formula>L$5</formula>
    </cfRule>
  </conditionalFormatting>
  <conditionalFormatting sqref="L12:L13">
    <cfRule type="expression" dxfId="125" priority="17">
      <formula>L$5</formula>
    </cfRule>
  </conditionalFormatting>
  <conditionalFormatting sqref="E16">
    <cfRule type="expression" dxfId="124" priority="16">
      <formula>E$5</formula>
    </cfRule>
  </conditionalFormatting>
  <conditionalFormatting sqref="E17">
    <cfRule type="expression" dxfId="123" priority="15">
      <formula>E$5</formula>
    </cfRule>
  </conditionalFormatting>
  <conditionalFormatting sqref="F16">
    <cfRule type="expression" dxfId="122" priority="14">
      <formula>F$5</formula>
    </cfRule>
  </conditionalFormatting>
  <conditionalFormatting sqref="F17">
    <cfRule type="expression" dxfId="121" priority="13">
      <formula>F$5</formula>
    </cfRule>
  </conditionalFormatting>
  <conditionalFormatting sqref="G16">
    <cfRule type="expression" dxfId="120" priority="12">
      <formula>G$5</formula>
    </cfRule>
  </conditionalFormatting>
  <conditionalFormatting sqref="G17">
    <cfRule type="expression" dxfId="119" priority="11">
      <formula>G$5</formula>
    </cfRule>
  </conditionalFormatting>
  <conditionalFormatting sqref="H16">
    <cfRule type="expression" dxfId="118" priority="10">
      <formula>H$5</formula>
    </cfRule>
  </conditionalFormatting>
  <conditionalFormatting sqref="H17">
    <cfRule type="expression" dxfId="117" priority="9">
      <formula>H$5</formula>
    </cfRule>
  </conditionalFormatting>
  <conditionalFormatting sqref="I16">
    <cfRule type="expression" dxfId="116" priority="8">
      <formula>I$5</formula>
    </cfRule>
  </conditionalFormatting>
  <conditionalFormatting sqref="I17">
    <cfRule type="expression" dxfId="115" priority="7">
      <formula>I$5</formula>
    </cfRule>
  </conditionalFormatting>
  <conditionalFormatting sqref="J16">
    <cfRule type="expression" dxfId="114" priority="6">
      <formula>J$5</formula>
    </cfRule>
  </conditionalFormatting>
  <conditionalFormatting sqref="J17">
    <cfRule type="expression" dxfId="113" priority="5">
      <formula>J$5</formula>
    </cfRule>
  </conditionalFormatting>
  <conditionalFormatting sqref="K16">
    <cfRule type="expression" dxfId="112" priority="4">
      <formula>K$5</formula>
    </cfRule>
  </conditionalFormatting>
  <conditionalFormatting sqref="K17">
    <cfRule type="expression" dxfId="111" priority="3">
      <formula>K$5</formula>
    </cfRule>
  </conditionalFormatting>
  <conditionalFormatting sqref="L16">
    <cfRule type="expression" dxfId="110" priority="2">
      <formula>L$5</formula>
    </cfRule>
  </conditionalFormatting>
  <conditionalFormatting sqref="L17">
    <cfRule type="expression" dxfId="109" priority="1">
      <formula>L$5</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38"/>
  <sheetViews>
    <sheetView zoomScaleNormal="100" workbookViewId="0">
      <selection activeCell="A6" sqref="A6"/>
    </sheetView>
  </sheetViews>
  <sheetFormatPr defaultColWidth="9.140625" defaultRowHeight="15" x14ac:dyDescent="0.25"/>
  <cols>
    <col min="1" max="1" width="25.7109375" style="6" customWidth="1"/>
    <col min="2" max="2" width="26.42578125" style="6" customWidth="1"/>
    <col min="3" max="3" width="18.5703125" style="6" customWidth="1"/>
    <col min="4" max="4" width="15.85546875" style="6" customWidth="1"/>
    <col min="5" max="5" width="17.28515625" style="6" bestFit="1" customWidth="1"/>
    <col min="6" max="6" width="39.140625" style="6" bestFit="1" customWidth="1"/>
    <col min="7" max="7" width="23" style="6" bestFit="1" customWidth="1"/>
    <col min="8" max="16384" width="9.140625" style="6"/>
  </cols>
  <sheetData>
    <row r="1" spans="1:7" ht="15.75" thickBot="1" x14ac:dyDescent="0.3">
      <c r="A1" s="10" t="s">
        <v>25</v>
      </c>
      <c r="C1" s="3">
        <f>SUM(C6:C23)</f>
        <v>0</v>
      </c>
    </row>
    <row r="2" spans="1:7" ht="15.75" thickBot="1" x14ac:dyDescent="0.3">
      <c r="A2" s="6" t="s">
        <v>8</v>
      </c>
      <c r="C2" s="3">
        <f>SUM(G6:G23)</f>
        <v>0</v>
      </c>
    </row>
    <row r="3" spans="1:7" x14ac:dyDescent="0.25">
      <c r="A3" s="97"/>
    </row>
    <row r="5" spans="1:7" x14ac:dyDescent="0.25">
      <c r="A5" s="6" t="s">
        <v>81</v>
      </c>
      <c r="B5" s="6" t="s">
        <v>6</v>
      </c>
      <c r="C5" s="6" t="s">
        <v>7</v>
      </c>
      <c r="D5" s="6" t="s">
        <v>9</v>
      </c>
      <c r="E5" s="6" t="s">
        <v>26</v>
      </c>
      <c r="F5" s="6" t="s">
        <v>33</v>
      </c>
      <c r="G5" s="6" t="s">
        <v>27</v>
      </c>
    </row>
    <row r="6" spans="1:7" x14ac:dyDescent="0.25">
      <c r="A6" s="92"/>
      <c r="B6" s="92"/>
      <c r="C6" s="80"/>
      <c r="D6" s="92"/>
      <c r="E6" s="81"/>
      <c r="F6" s="92"/>
      <c r="G6" s="62" t="str">
        <f>IF(C6*E6&gt;0,C6*E6,"")</f>
        <v/>
      </c>
    </row>
    <row r="7" spans="1:7" x14ac:dyDescent="0.25">
      <c r="A7" s="92"/>
      <c r="B7" s="92"/>
      <c r="C7" s="80"/>
      <c r="D7" s="92"/>
      <c r="E7" s="81"/>
      <c r="F7" s="92"/>
      <c r="G7" s="62" t="str">
        <f t="shared" ref="G7:G23" si="0">IF(C7*E7&gt;0,C7*E7,"")</f>
        <v/>
      </c>
    </row>
    <row r="8" spans="1:7" x14ac:dyDescent="0.25">
      <c r="A8" s="92"/>
      <c r="B8" s="92"/>
      <c r="C8" s="80"/>
      <c r="D8" s="92"/>
      <c r="E8" s="81"/>
      <c r="F8" s="92"/>
      <c r="G8" s="62" t="str">
        <f t="shared" si="0"/>
        <v/>
      </c>
    </row>
    <row r="9" spans="1:7" x14ac:dyDescent="0.25">
      <c r="A9" s="92"/>
      <c r="B9" s="92"/>
      <c r="C9" s="80"/>
      <c r="D9" s="92"/>
      <c r="E9" s="81"/>
      <c r="F9" s="92"/>
      <c r="G9" s="62" t="str">
        <f t="shared" si="0"/>
        <v/>
      </c>
    </row>
    <row r="10" spans="1:7" x14ac:dyDescent="0.25">
      <c r="A10" s="92"/>
      <c r="B10" s="92"/>
      <c r="C10" s="80"/>
      <c r="D10" s="92"/>
      <c r="E10" s="81"/>
      <c r="F10" s="92"/>
      <c r="G10" s="62" t="str">
        <f t="shared" si="0"/>
        <v/>
      </c>
    </row>
    <row r="11" spans="1:7" x14ac:dyDescent="0.25">
      <c r="A11" s="92"/>
      <c r="B11" s="92"/>
      <c r="C11" s="80"/>
      <c r="D11" s="92"/>
      <c r="E11" s="81"/>
      <c r="F11" s="92"/>
      <c r="G11" s="62" t="str">
        <f t="shared" si="0"/>
        <v/>
      </c>
    </row>
    <row r="12" spans="1:7" x14ac:dyDescent="0.25">
      <c r="A12" s="92"/>
      <c r="B12" s="92"/>
      <c r="C12" s="80"/>
      <c r="D12" s="92"/>
      <c r="E12" s="81"/>
      <c r="F12" s="92"/>
      <c r="G12" s="62" t="str">
        <f t="shared" si="0"/>
        <v/>
      </c>
    </row>
    <row r="13" spans="1:7" x14ac:dyDescent="0.25">
      <c r="A13" s="92"/>
      <c r="B13" s="92"/>
      <c r="C13" s="80"/>
      <c r="D13" s="92"/>
      <c r="E13" s="81"/>
      <c r="F13" s="92"/>
      <c r="G13" s="62" t="str">
        <f t="shared" si="0"/>
        <v/>
      </c>
    </row>
    <row r="14" spans="1:7" x14ac:dyDescent="0.25">
      <c r="A14" s="92"/>
      <c r="B14" s="92"/>
      <c r="C14" s="80"/>
      <c r="D14" s="92"/>
      <c r="E14" s="81"/>
      <c r="F14" s="92"/>
      <c r="G14" s="62" t="str">
        <f t="shared" si="0"/>
        <v/>
      </c>
    </row>
    <row r="15" spans="1:7" x14ac:dyDescent="0.25">
      <c r="A15" s="92"/>
      <c r="B15" s="92"/>
      <c r="C15" s="80"/>
      <c r="D15" s="92"/>
      <c r="E15" s="81"/>
      <c r="F15" s="92"/>
      <c r="G15" s="62" t="str">
        <f t="shared" si="0"/>
        <v/>
      </c>
    </row>
    <row r="16" spans="1:7" x14ac:dyDescent="0.25">
      <c r="A16" s="92"/>
      <c r="B16" s="92"/>
      <c r="C16" s="80"/>
      <c r="D16" s="92"/>
      <c r="E16" s="81"/>
      <c r="F16" s="92"/>
      <c r="G16" s="62" t="str">
        <f t="shared" si="0"/>
        <v/>
      </c>
    </row>
    <row r="17" spans="1:7" x14ac:dyDescent="0.25">
      <c r="A17" s="92"/>
      <c r="B17" s="92"/>
      <c r="C17" s="80"/>
      <c r="D17" s="92"/>
      <c r="E17" s="81"/>
      <c r="F17" s="92"/>
      <c r="G17" s="62" t="str">
        <f t="shared" si="0"/>
        <v/>
      </c>
    </row>
    <row r="18" spans="1:7" x14ac:dyDescent="0.25">
      <c r="A18" s="92"/>
      <c r="B18" s="92"/>
      <c r="C18" s="80"/>
      <c r="D18" s="92"/>
      <c r="E18" s="81"/>
      <c r="F18" s="92"/>
      <c r="G18" s="62" t="str">
        <f t="shared" si="0"/>
        <v/>
      </c>
    </row>
    <row r="19" spans="1:7" x14ac:dyDescent="0.25">
      <c r="A19" s="92"/>
      <c r="B19" s="92"/>
      <c r="C19" s="80"/>
      <c r="D19" s="92"/>
      <c r="E19" s="81"/>
      <c r="F19" s="92"/>
      <c r="G19" s="62" t="str">
        <f t="shared" si="0"/>
        <v/>
      </c>
    </row>
    <row r="20" spans="1:7" x14ac:dyDescent="0.25">
      <c r="A20" s="92"/>
      <c r="B20" s="92"/>
      <c r="C20" s="80"/>
      <c r="D20" s="92"/>
      <c r="E20" s="81"/>
      <c r="F20" s="92"/>
      <c r="G20" s="62" t="str">
        <f t="shared" si="0"/>
        <v/>
      </c>
    </row>
    <row r="21" spans="1:7" x14ac:dyDescent="0.25">
      <c r="A21" s="92"/>
      <c r="B21" s="92"/>
      <c r="C21" s="80"/>
      <c r="D21" s="92"/>
      <c r="E21" s="81"/>
      <c r="F21" s="92"/>
      <c r="G21" s="62" t="str">
        <f t="shared" si="0"/>
        <v/>
      </c>
    </row>
    <row r="22" spans="1:7" x14ac:dyDescent="0.25">
      <c r="A22" s="92"/>
      <c r="B22" s="92"/>
      <c r="C22" s="80"/>
      <c r="D22" s="92"/>
      <c r="E22" s="81"/>
      <c r="F22" s="92"/>
      <c r="G22" s="62" t="str">
        <f t="shared" si="0"/>
        <v/>
      </c>
    </row>
    <row r="23" spans="1:7" x14ac:dyDescent="0.25">
      <c r="A23" s="92"/>
      <c r="B23" s="92"/>
      <c r="C23" s="80"/>
      <c r="D23" s="92"/>
      <c r="E23" s="81"/>
      <c r="F23" s="92"/>
      <c r="G23" s="62" t="str">
        <f t="shared" si="0"/>
        <v/>
      </c>
    </row>
    <row r="26" spans="1:7" hidden="1" x14ac:dyDescent="0.25">
      <c r="A26" s="6" t="s">
        <v>168</v>
      </c>
      <c r="C26" s="59">
        <f>SUMIF(F6:F23,"Yes",C6:C23)</f>
        <v>0</v>
      </c>
    </row>
    <row r="28" spans="1:7" hidden="1" x14ac:dyDescent="0.25">
      <c r="A28" s="133" t="s">
        <v>219</v>
      </c>
    </row>
    <row r="29" spans="1:7" hidden="1" x14ac:dyDescent="0.25">
      <c r="A29" s="6" t="str">
        <f>entity1</f>
        <v>Oxbow County</v>
      </c>
      <c r="B29" s="59">
        <f>SUMIF($A$6:$A$23,entity1,$C$6:$C$23)</f>
        <v>0</v>
      </c>
    </row>
    <row r="30" spans="1:7" hidden="1" x14ac:dyDescent="0.25">
      <c r="A30" s="6" t="str">
        <f>entity2</f>
        <v>City of Pool</v>
      </c>
      <c r="B30" s="59">
        <f>SUMIF($A$6:$A$23,entity2,$C$6:$C$23)</f>
        <v>0</v>
      </c>
    </row>
    <row r="31" spans="1:7" hidden="1" x14ac:dyDescent="0.25">
      <c r="A31" s="6" t="str">
        <f>entity3</f>
        <v>City of Riffle</v>
      </c>
      <c r="B31" s="59">
        <f>SUMIF($A$6:$A$23,entity3,$C$6:$C$23)</f>
        <v>0</v>
      </c>
    </row>
    <row r="32" spans="1:7" hidden="1" x14ac:dyDescent="0.25">
      <c r="A32" s="6" t="str">
        <f>entity4</f>
        <v>Wishful Watershed Council</v>
      </c>
      <c r="B32" s="59">
        <f>SUMIF($A$6:$A$23,entity4,$C$6:$C$23)</f>
        <v>0</v>
      </c>
    </row>
    <row r="33" spans="1:2" hidden="1" x14ac:dyDescent="0.25">
      <c r="A33" s="6" t="str">
        <f>entity5</f>
        <v>Council of Government</v>
      </c>
      <c r="B33" s="59">
        <f>SUMIF($A$6:$A$23,entity5,$C$6:$C$23)</f>
        <v>0</v>
      </c>
    </row>
    <row r="34" spans="1:2" hidden="1" x14ac:dyDescent="0.25">
      <c r="A34" s="6" t="str">
        <f>entity6</f>
        <v>Soil &amp; Water Conservation</v>
      </c>
      <c r="B34" s="59">
        <f>SUMIF($A$6:$A$23,entity6,$C$6:$C$23)</f>
        <v>0</v>
      </c>
    </row>
    <row r="35" spans="1:2" hidden="1" x14ac:dyDescent="0.25">
      <c r="A35" s="6">
        <f>entity7</f>
        <v>0</v>
      </c>
      <c r="B35" s="59">
        <f>SUMIF($A$6:$A$23,entity7,$C$6:$C$23)</f>
        <v>0</v>
      </c>
    </row>
    <row r="36" spans="1:2" hidden="1" x14ac:dyDescent="0.25">
      <c r="A36" s="6">
        <f>entity8</f>
        <v>0</v>
      </c>
      <c r="B36" s="59">
        <f>SUMIF($A$6:$A$23,entity8,$C$6:$C$23)</f>
        <v>0</v>
      </c>
    </row>
    <row r="37" spans="1:2" hidden="1" x14ac:dyDescent="0.25">
      <c r="A37" s="6">
        <f>entity9</f>
        <v>0</v>
      </c>
      <c r="B37" s="59">
        <f>SUMIF($A$6:$A$23,entity9,$C$6:$C$23)</f>
        <v>0</v>
      </c>
    </row>
    <row r="38" spans="1:2" hidden="1" x14ac:dyDescent="0.25">
      <c r="A38" s="6">
        <f>entity10</f>
        <v>0</v>
      </c>
      <c r="B38" s="59">
        <f>SUMIF($A$6:$A$23,entity10,$C$6:$C$23)</f>
        <v>0</v>
      </c>
    </row>
  </sheetData>
  <sheetProtection password="9D10" sheet="1" objects="1" scenarios="1" selectLockedCells="1"/>
  <dataValidations count="2">
    <dataValidation type="list" allowBlank="1" showInputMessage="1" showErrorMessage="1" error="Please click CANCEL and then select one of the entities from the dropdown" sqref="A6:A23">
      <formula1>Entity</formula1>
    </dataValidation>
    <dataValidation type="list" allowBlank="1" showInputMessage="1" showErrorMessage="1" error="Please click CANCEL and select a value from the drop-down list" sqref="F6:F23">
      <formula1>FedFundsAsMatch</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click CANCEL and select a value from the drop-down list">
          <x14:formula1>
            <xm:f>Admin!$A$2:$A$3</xm:f>
          </x14:formula1>
          <xm:sqref>D6:D23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36"/>
  <sheetViews>
    <sheetView workbookViewId="0">
      <selection activeCell="D11" sqref="D11"/>
    </sheetView>
  </sheetViews>
  <sheetFormatPr defaultColWidth="9.140625" defaultRowHeight="15" x14ac:dyDescent="0.25"/>
  <cols>
    <col min="1" max="1" width="19.5703125" style="6" customWidth="1"/>
    <col min="2" max="2" width="35.140625" style="6" bestFit="1" customWidth="1"/>
    <col min="3" max="12" width="20.5703125" style="6" customWidth="1"/>
    <col min="13" max="16384" width="9.140625" style="6"/>
  </cols>
  <sheetData>
    <row r="1" spans="1:12" ht="15.75" thickBot="1" x14ac:dyDescent="0.3">
      <c r="A1" s="10" t="s">
        <v>28</v>
      </c>
      <c r="C1" s="60">
        <f>SUM(C2:L2)</f>
        <v>0</v>
      </c>
    </row>
    <row r="2" spans="1:12" hidden="1" x14ac:dyDescent="0.25">
      <c r="A2" s="26" t="s">
        <v>48</v>
      </c>
      <c r="B2" s="44"/>
      <c r="C2" s="24">
        <f>IF(C5=TRUE,C12+SUM(C15:C18)+C21+C24+C27+C30*C31+C32+C35*C36,0)</f>
        <v>0</v>
      </c>
      <c r="D2" s="24">
        <f t="shared" ref="D2:L2" si="0">IF(D5=TRUE,D12+SUM(D15:D18)+D21+D24+D27+D30*D31+D32+D35*D36,0)</f>
        <v>0</v>
      </c>
      <c r="E2" s="24">
        <f t="shared" si="0"/>
        <v>0</v>
      </c>
      <c r="F2" s="24">
        <f t="shared" si="0"/>
        <v>0</v>
      </c>
      <c r="G2" s="24">
        <f t="shared" si="0"/>
        <v>0</v>
      </c>
      <c r="H2" s="24">
        <f t="shared" si="0"/>
        <v>0</v>
      </c>
      <c r="I2" s="24">
        <f t="shared" si="0"/>
        <v>0</v>
      </c>
      <c r="J2" s="24">
        <f t="shared" si="0"/>
        <v>0</v>
      </c>
      <c r="K2" s="24">
        <f t="shared" si="0"/>
        <v>0</v>
      </c>
      <c r="L2" s="24">
        <f t="shared" si="0"/>
        <v>0</v>
      </c>
    </row>
    <row r="3" spans="1:12" hidden="1" x14ac:dyDescent="0.25">
      <c r="A3" s="26" t="s">
        <v>49</v>
      </c>
      <c r="B3" s="44"/>
      <c r="C3" s="27" t="b">
        <f>IF(TotalEntities&gt;=1,TRUE,FALSE)</f>
        <v>1</v>
      </c>
      <c r="D3" s="27" t="b">
        <f>IF(TotalEntities&gt;=2,TRUE,FALSE)</f>
        <v>1</v>
      </c>
      <c r="E3" s="27" t="b">
        <f>IF(TotalEntities&gt;=3,TRUE,FALSE)</f>
        <v>1</v>
      </c>
      <c r="F3" s="27" t="b">
        <f>IF(TotalEntities&gt;=4,TRUE,FALSE)</f>
        <v>1</v>
      </c>
      <c r="G3" s="27" t="b">
        <f>IF(TotalEntities&gt;=5,TRUE,FALSE)</f>
        <v>1</v>
      </c>
      <c r="H3" s="27" t="b">
        <f>IF(TotalEntities&gt;=6,TRUE,FALSE)</f>
        <v>1</v>
      </c>
      <c r="I3" s="27" t="b">
        <f>IF(TotalEntities&gt;=7,TRUE,FALSE)</f>
        <v>0</v>
      </c>
      <c r="J3" s="27" t="b">
        <f>IF(TotalEntities&gt;=8,TRUE,FALSE)</f>
        <v>0</v>
      </c>
      <c r="K3" s="27" t="b">
        <f>IF(TotalEntities&gt;=9,TRUE,FALSE)</f>
        <v>0</v>
      </c>
      <c r="L3" s="27" t="b">
        <f>IF(TotalEntities&gt;=10,TRUE,FALSE)</f>
        <v>0</v>
      </c>
    </row>
    <row r="4" spans="1:12" hidden="1" x14ac:dyDescent="0.25">
      <c r="A4" s="26" t="s">
        <v>50</v>
      </c>
      <c r="B4" s="44">
        <v>10</v>
      </c>
      <c r="C4" s="27" t="b">
        <f>VLOOKUP(GettingStarted!D8,Admin!$A$27:$J$34,$B$4, FALSE)</f>
        <v>1</v>
      </c>
      <c r="D4" s="27" t="b">
        <f>VLOOKUP(GettingStarted!D9,Admin!$A$27:$J$34,$B$4, FALSE)</f>
        <v>1</v>
      </c>
      <c r="E4" s="27" t="b">
        <f>VLOOKUP(GettingStarted!D10,Admin!$A$27:$J$34,$B$4, FALSE)</f>
        <v>1</v>
      </c>
      <c r="F4" s="27" t="b">
        <f>VLOOKUP(GettingStarted!D11,Admin!$A$27:$J$34,$B$4, FALSE)</f>
        <v>1</v>
      </c>
      <c r="G4" s="27" t="b">
        <f>VLOOKUP(GettingStarted!D12,Admin!$A$27:$J$34,$B$4, FALSE)</f>
        <v>1</v>
      </c>
      <c r="H4" s="27" t="b">
        <f>VLOOKUP(GettingStarted!D13,Admin!$A$27:$J$34,$B$4, FALSE)</f>
        <v>1</v>
      </c>
      <c r="I4" s="27" t="e">
        <f>VLOOKUP(GettingStarted!D14,Admin!$A$27:$J$34,$B$4, FALSE)</f>
        <v>#N/A</v>
      </c>
      <c r="J4" s="27" t="e">
        <f>VLOOKUP(GettingStarted!D15,Admin!$A$27:$J$34,$B$4, FALSE)</f>
        <v>#N/A</v>
      </c>
      <c r="K4" s="27" t="e">
        <f>VLOOKUP(GettingStarted!D16,Admin!$A$27:$J$34,$B$4, FALSE)</f>
        <v>#N/A</v>
      </c>
      <c r="L4" s="27" t="e">
        <f>VLOOKUP(GettingStarted!D17,Admin!$A$27:$J$34,$B$4, FALSE)</f>
        <v>#N/A</v>
      </c>
    </row>
    <row r="5" spans="1:12" hidden="1" x14ac:dyDescent="0.25">
      <c r="A5" s="26" t="s">
        <v>58</v>
      </c>
      <c r="B5" s="44"/>
      <c r="C5" s="27" t="b">
        <f>IF(C3=TRUE,IF(C4=TRUE,TRUE,FALSE),FALSE)</f>
        <v>1</v>
      </c>
      <c r="D5" s="27" t="b">
        <f t="shared" ref="D5:L5" si="1">IF(D3=TRUE,IF(D4=TRUE,TRUE,FALSE),FALSE)</f>
        <v>1</v>
      </c>
      <c r="E5" s="27" t="b">
        <f t="shared" si="1"/>
        <v>1</v>
      </c>
      <c r="F5" s="27" t="b">
        <f t="shared" si="1"/>
        <v>1</v>
      </c>
      <c r="G5" s="27" t="b">
        <f t="shared" si="1"/>
        <v>1</v>
      </c>
      <c r="H5" s="27" t="b">
        <f t="shared" si="1"/>
        <v>1</v>
      </c>
      <c r="I5" s="27" t="b">
        <f t="shared" si="1"/>
        <v>0</v>
      </c>
      <c r="J5" s="27" t="b">
        <f t="shared" si="1"/>
        <v>0</v>
      </c>
      <c r="K5" s="27" t="b">
        <f t="shared" si="1"/>
        <v>0</v>
      </c>
      <c r="L5" s="27" t="b">
        <f t="shared" si="1"/>
        <v>0</v>
      </c>
    </row>
    <row r="6" spans="1:12" hidden="1" x14ac:dyDescent="0.25">
      <c r="A6" s="26" t="s">
        <v>60</v>
      </c>
      <c r="B6" s="44"/>
      <c r="C6" s="27" t="b">
        <f>IF(C3=TRUE,IF(C5=FALSE,TRUE,FALSE),FALSE)</f>
        <v>0</v>
      </c>
      <c r="D6" s="27" t="b">
        <f t="shared" ref="D6:L6" si="2">IF(D3=TRUE,IF(D5=FALSE,TRUE,FALSE),FALSE)</f>
        <v>0</v>
      </c>
      <c r="E6" s="27" t="b">
        <f t="shared" si="2"/>
        <v>0</v>
      </c>
      <c r="F6" s="27" t="b">
        <f t="shared" si="2"/>
        <v>0</v>
      </c>
      <c r="G6" s="27" t="b">
        <f t="shared" si="2"/>
        <v>0</v>
      </c>
      <c r="H6" s="27" t="b">
        <f t="shared" si="2"/>
        <v>0</v>
      </c>
      <c r="I6" s="27" t="b">
        <f t="shared" si="2"/>
        <v>0</v>
      </c>
      <c r="J6" s="27" t="b">
        <f t="shared" si="2"/>
        <v>0</v>
      </c>
      <c r="K6" s="27" t="b">
        <f t="shared" si="2"/>
        <v>0</v>
      </c>
      <c r="L6" s="27" t="b">
        <f t="shared" si="2"/>
        <v>0</v>
      </c>
    </row>
    <row r="7" spans="1:12" x14ac:dyDescent="0.25">
      <c r="A7" s="96"/>
      <c r="B7" s="44"/>
      <c r="C7" s="27"/>
      <c r="D7" s="27"/>
      <c r="E7" s="27"/>
      <c r="F7" s="27"/>
      <c r="G7" s="27"/>
      <c r="H7" s="27"/>
      <c r="I7" s="27"/>
      <c r="J7" s="27"/>
      <c r="K7" s="27"/>
      <c r="L7" s="27"/>
    </row>
    <row r="8" spans="1:12" s="130" customFormat="1" ht="45" customHeight="1" x14ac:dyDescent="0.25">
      <c r="A8" s="129" t="s">
        <v>47</v>
      </c>
      <c r="C8" s="131" t="str">
        <f>IF(C3=TRUE,entity1,"")</f>
        <v>Oxbow County</v>
      </c>
      <c r="D8" s="131" t="str">
        <f>IF(D3=TRUE,entity2,"")</f>
        <v>City of Pool</v>
      </c>
      <c r="E8" s="131" t="str">
        <f>IF(E3=TRUE,entity3,"")</f>
        <v>City of Riffle</v>
      </c>
      <c r="F8" s="131" t="str">
        <f>IF(F3=TRUE,entity4,"")</f>
        <v>Wishful Watershed Council</v>
      </c>
      <c r="G8" s="131" t="str">
        <f>IF(G3=TRUE,entity5,"")</f>
        <v>Council of Government</v>
      </c>
      <c r="H8" s="131" t="str">
        <f>IF(H3=TRUE,entity6,"")</f>
        <v>Soil &amp; Water Conservation</v>
      </c>
      <c r="I8" s="131" t="str">
        <f>IF(I3=TRUE,entity7,"")</f>
        <v/>
      </c>
      <c r="J8" s="131" t="str">
        <f>IF(J3=TRUE,entity8,"")</f>
        <v/>
      </c>
      <c r="K8" s="131" t="str">
        <f>IF(K3=TRUE,entity9,"")</f>
        <v/>
      </c>
      <c r="L8" s="131" t="str">
        <f>IF(L3=TRUE,entity10,"")</f>
        <v/>
      </c>
    </row>
    <row r="9" spans="1:12" s="88" customFormat="1" ht="48.75" customHeight="1" x14ac:dyDescent="0.25">
      <c r="A9" s="87"/>
      <c r="C9" s="86" t="str">
        <f>GettingStarted!D8 &amp; "s cannot raise " &amp; PROPER($A$1)</f>
        <v>County Governments cannot raise Other Funding Sources</v>
      </c>
      <c r="D9" s="86" t="str">
        <f>GettingStarted!D9 &amp; "s cannot raise " &amp; PROPER($A$1)</f>
        <v>Municipal Governments cannot raise Other Funding Sources</v>
      </c>
      <c r="E9" s="86" t="str">
        <f>GettingStarted!D10 &amp; "s cannot raise " &amp; PROPER($A$1)</f>
        <v>Municipal Governments cannot raise Other Funding Sources</v>
      </c>
      <c r="F9" s="86" t="str">
        <f>GettingStarted!D11 &amp; "s cannot raise " &amp; PROPER($A$1)</f>
        <v>Watershed Councils cannot raise Other Funding Sources</v>
      </c>
      <c r="G9" s="86" t="str">
        <f>GettingStarted!D12 &amp; "s cannot raise " &amp; PROPER($A$1)</f>
        <v>Nonprofits cannot raise Other Funding Sources</v>
      </c>
      <c r="H9" s="86" t="str">
        <f>GettingStarted!D13 &amp; "s cannot raise " &amp; PROPER($A$1)</f>
        <v>Nonprofits cannot raise Other Funding Sources</v>
      </c>
      <c r="I9" s="86" t="str">
        <f>GettingStarted!D14 &amp; "s cannot raise " &amp; PROPER($A$1)</f>
        <v>s cannot raise Other Funding Sources</v>
      </c>
      <c r="J9" s="86" t="str">
        <f>GettingStarted!D15 &amp; "s cannot raise " &amp; PROPER($A$1)</f>
        <v>s cannot raise Other Funding Sources</v>
      </c>
      <c r="K9" s="86" t="str">
        <f>GettingStarted!D16 &amp; "s cannot raise " &amp; PROPER($A$1)</f>
        <v>s cannot raise Other Funding Sources</v>
      </c>
      <c r="L9" s="86" t="str">
        <f>GettingStarted!D17 &amp; "s cannot raise " &amp; PROPER($A$1)</f>
        <v>s cannot raise Other Funding Sources</v>
      </c>
    </row>
    <row r="10" spans="1:12" x14ac:dyDescent="0.25">
      <c r="A10" s="158" t="s">
        <v>133</v>
      </c>
      <c r="B10" s="158"/>
    </row>
    <row r="11" spans="1:12" ht="30" customHeight="1" x14ac:dyDescent="0.25">
      <c r="B11" s="6" t="s">
        <v>181</v>
      </c>
      <c r="C11" s="93"/>
      <c r="D11" s="93"/>
      <c r="E11" s="93"/>
      <c r="F11" s="93"/>
      <c r="G11" s="93"/>
      <c r="H11" s="93"/>
      <c r="I11" s="93"/>
      <c r="J11" s="93"/>
      <c r="K11" s="93"/>
      <c r="L11" s="93"/>
    </row>
    <row r="12" spans="1:12" x14ac:dyDescent="0.25">
      <c r="B12" s="6" t="s">
        <v>134</v>
      </c>
      <c r="C12" s="82"/>
      <c r="D12" s="82"/>
      <c r="E12" s="82"/>
      <c r="F12" s="82"/>
      <c r="G12" s="82"/>
      <c r="H12" s="82"/>
      <c r="I12" s="82"/>
      <c r="J12" s="82"/>
      <c r="K12" s="82"/>
      <c r="L12" s="82"/>
    </row>
    <row r="14" spans="1:12" x14ac:dyDescent="0.25">
      <c r="A14" s="134" t="s">
        <v>229</v>
      </c>
    </row>
    <row r="15" spans="1:12" x14ac:dyDescent="0.25">
      <c r="B15" s="6" t="s">
        <v>230</v>
      </c>
      <c r="C15" s="82"/>
      <c r="D15" s="82"/>
      <c r="E15" s="82"/>
      <c r="F15" s="82"/>
      <c r="G15" s="82"/>
      <c r="H15" s="82"/>
      <c r="I15" s="82"/>
      <c r="J15" s="82"/>
      <c r="K15" s="82"/>
      <c r="L15" s="82"/>
    </row>
    <row r="16" spans="1:12" x14ac:dyDescent="0.25">
      <c r="B16" s="6" t="s">
        <v>231</v>
      </c>
      <c r="C16" s="82"/>
      <c r="D16" s="82"/>
      <c r="E16" s="82"/>
      <c r="F16" s="82"/>
      <c r="G16" s="82"/>
      <c r="H16" s="82"/>
      <c r="I16" s="82"/>
      <c r="J16" s="82"/>
      <c r="K16" s="82"/>
      <c r="L16" s="82"/>
    </row>
    <row r="17" spans="1:12" x14ac:dyDescent="0.25">
      <c r="B17" s="6" t="s">
        <v>232</v>
      </c>
      <c r="C17" s="82"/>
      <c r="D17" s="82"/>
      <c r="E17" s="82"/>
      <c r="F17" s="82"/>
      <c r="G17" s="82"/>
      <c r="H17" s="82"/>
      <c r="I17" s="82"/>
      <c r="J17" s="82"/>
      <c r="K17" s="82"/>
      <c r="L17" s="82"/>
    </row>
    <row r="18" spans="1:12" x14ac:dyDescent="0.25">
      <c r="B18" s="6" t="s">
        <v>233</v>
      </c>
      <c r="C18" s="82"/>
      <c r="D18" s="82"/>
      <c r="E18" s="82"/>
      <c r="F18" s="82"/>
      <c r="G18" s="82"/>
      <c r="H18" s="82"/>
      <c r="I18" s="82"/>
      <c r="J18" s="82"/>
      <c r="K18" s="82"/>
      <c r="L18" s="82"/>
    </row>
    <row r="20" spans="1:12" x14ac:dyDescent="0.25">
      <c r="A20" s="46" t="s">
        <v>138</v>
      </c>
    </row>
    <row r="21" spans="1:12" x14ac:dyDescent="0.25">
      <c r="B21" s="6" t="s">
        <v>139</v>
      </c>
      <c r="C21" s="82"/>
      <c r="D21" s="82"/>
      <c r="E21" s="82"/>
      <c r="F21" s="82"/>
      <c r="G21" s="82"/>
      <c r="H21" s="82"/>
      <c r="I21" s="82"/>
      <c r="J21" s="82"/>
      <c r="K21" s="82"/>
      <c r="L21" s="82"/>
    </row>
    <row r="23" spans="1:12" x14ac:dyDescent="0.25">
      <c r="A23" s="50" t="s">
        <v>141</v>
      </c>
    </row>
    <row r="24" spans="1:12" x14ac:dyDescent="0.25">
      <c r="B24" s="6" t="s">
        <v>142</v>
      </c>
      <c r="C24" s="82"/>
      <c r="D24" s="82"/>
      <c r="E24" s="82"/>
      <c r="F24" s="82"/>
      <c r="G24" s="82"/>
      <c r="H24" s="82"/>
      <c r="I24" s="82"/>
      <c r="J24" s="82"/>
      <c r="K24" s="82"/>
      <c r="L24" s="82"/>
    </row>
    <row r="26" spans="1:12" x14ac:dyDescent="0.25">
      <c r="A26" s="50" t="s">
        <v>143</v>
      </c>
    </row>
    <row r="27" spans="1:12" x14ac:dyDescent="0.25">
      <c r="B27" s="6" t="s">
        <v>144</v>
      </c>
      <c r="C27" s="59"/>
      <c r="D27" s="59"/>
      <c r="E27" s="59"/>
      <c r="F27" s="59"/>
      <c r="G27" s="59"/>
      <c r="H27" s="59"/>
      <c r="I27" s="59"/>
      <c r="J27" s="59"/>
      <c r="K27" s="59"/>
      <c r="L27" s="59"/>
    </row>
    <row r="29" spans="1:12" x14ac:dyDescent="0.25">
      <c r="A29" s="158" t="s">
        <v>145</v>
      </c>
      <c r="B29" s="158"/>
      <c r="C29" s="158"/>
    </row>
    <row r="30" spans="1:12" ht="15" customHeight="1" x14ac:dyDescent="0.25">
      <c r="B30" s="6" t="s">
        <v>175</v>
      </c>
      <c r="C30" s="82"/>
      <c r="D30" s="82"/>
      <c r="E30" s="82"/>
      <c r="F30" s="82"/>
      <c r="G30" s="82"/>
      <c r="H30" s="82"/>
      <c r="I30" s="82"/>
      <c r="J30" s="82"/>
      <c r="K30" s="82"/>
      <c r="L30" s="82"/>
    </row>
    <row r="31" spans="1:12" x14ac:dyDescent="0.25">
      <c r="B31" s="6" t="s">
        <v>104</v>
      </c>
      <c r="C31" s="83"/>
      <c r="D31" s="83"/>
      <c r="E31" s="83"/>
      <c r="F31" s="83"/>
      <c r="G31" s="83"/>
      <c r="H31" s="83"/>
      <c r="I31" s="83"/>
      <c r="J31" s="83"/>
      <c r="K31" s="83"/>
      <c r="L31" s="83"/>
    </row>
    <row r="32" spans="1:12" x14ac:dyDescent="0.25">
      <c r="A32" s="36" t="s">
        <v>17</v>
      </c>
      <c r="B32" s="6" t="s">
        <v>105</v>
      </c>
      <c r="C32" s="82"/>
      <c r="D32" s="82"/>
      <c r="E32" s="82"/>
      <c r="F32" s="82"/>
      <c r="G32" s="82"/>
      <c r="H32" s="82"/>
      <c r="I32" s="82"/>
      <c r="J32" s="82"/>
      <c r="K32" s="82"/>
      <c r="L32" s="82"/>
    </row>
    <row r="34" spans="1:12" x14ac:dyDescent="0.25">
      <c r="A34" s="158" t="s">
        <v>148</v>
      </c>
      <c r="B34" s="158"/>
      <c r="C34" s="158"/>
    </row>
    <row r="35" spans="1:12" x14ac:dyDescent="0.25">
      <c r="B35" s="6" t="s">
        <v>146</v>
      </c>
      <c r="C35" s="82"/>
      <c r="D35" s="82"/>
      <c r="E35" s="82"/>
      <c r="F35" s="82"/>
      <c r="G35" s="82"/>
      <c r="H35" s="82"/>
      <c r="I35" s="82"/>
      <c r="J35" s="82"/>
      <c r="K35" s="82"/>
      <c r="L35" s="82"/>
    </row>
    <row r="36" spans="1:12" x14ac:dyDescent="0.25">
      <c r="B36" s="6" t="s">
        <v>147</v>
      </c>
      <c r="C36" s="84"/>
      <c r="D36" s="84"/>
      <c r="E36" s="84"/>
      <c r="F36" s="84"/>
      <c r="G36" s="84"/>
      <c r="H36" s="84"/>
      <c r="I36" s="84"/>
      <c r="J36" s="84"/>
      <c r="K36" s="84"/>
      <c r="L36" s="84"/>
    </row>
  </sheetData>
  <sheetProtection password="9D10" sheet="1" objects="1" scenarios="1" selectLockedCells="1"/>
  <mergeCells count="3">
    <mergeCell ref="A10:B10"/>
    <mergeCell ref="A29:C29"/>
    <mergeCell ref="A34:C34"/>
  </mergeCells>
  <conditionalFormatting sqref="C9">
    <cfRule type="expression" dxfId="108" priority="117">
      <formula>C$6</formula>
    </cfRule>
  </conditionalFormatting>
  <conditionalFormatting sqref="C11:C12 C21 C15:C18">
    <cfRule type="expression" dxfId="107" priority="107">
      <formula>C$5</formula>
    </cfRule>
  </conditionalFormatting>
  <conditionalFormatting sqref="L27">
    <cfRule type="expression" dxfId="106" priority="69">
      <formula>L$5</formula>
    </cfRule>
  </conditionalFormatting>
  <conditionalFormatting sqref="D11:D12 D15:D18">
    <cfRule type="expression" dxfId="105" priority="106">
      <formula>D$5</formula>
    </cfRule>
  </conditionalFormatting>
  <conditionalFormatting sqref="E11:E12 E15:E18">
    <cfRule type="expression" dxfId="104" priority="105">
      <formula>E$5</formula>
    </cfRule>
  </conditionalFormatting>
  <conditionalFormatting sqref="F11:F12 F15:F18">
    <cfRule type="expression" dxfId="103" priority="104">
      <formula>F$5</formula>
    </cfRule>
  </conditionalFormatting>
  <conditionalFormatting sqref="G11:G12 G15:G18">
    <cfRule type="expression" dxfId="102" priority="103">
      <formula>G$5</formula>
    </cfRule>
  </conditionalFormatting>
  <conditionalFormatting sqref="H11:H12 H15:H18">
    <cfRule type="expression" dxfId="101" priority="102">
      <formula>H$5</formula>
    </cfRule>
  </conditionalFormatting>
  <conditionalFormatting sqref="I11:I12 I15:I18">
    <cfRule type="expression" dxfId="100" priority="101">
      <formula>I$5</formula>
    </cfRule>
  </conditionalFormatting>
  <conditionalFormatting sqref="J11:J12 J15:J18">
    <cfRule type="expression" dxfId="99" priority="100">
      <formula>J$5</formula>
    </cfRule>
  </conditionalFormatting>
  <conditionalFormatting sqref="K11:K12 K15:K18">
    <cfRule type="expression" dxfId="98" priority="99">
      <formula>K$5</formula>
    </cfRule>
  </conditionalFormatting>
  <conditionalFormatting sqref="L11:L12 L15:L18">
    <cfRule type="expression" dxfId="97" priority="98">
      <formula>L$5</formula>
    </cfRule>
  </conditionalFormatting>
  <conditionalFormatting sqref="D21">
    <cfRule type="expression" dxfId="96" priority="97">
      <formula>D$5</formula>
    </cfRule>
  </conditionalFormatting>
  <conditionalFormatting sqref="E21">
    <cfRule type="expression" dxfId="95" priority="96">
      <formula>E$5</formula>
    </cfRule>
  </conditionalFormatting>
  <conditionalFormatting sqref="F21">
    <cfRule type="expression" dxfId="94" priority="95">
      <formula>F$5</formula>
    </cfRule>
  </conditionalFormatting>
  <conditionalFormatting sqref="G21">
    <cfRule type="expression" dxfId="93" priority="94">
      <formula>G$5</formula>
    </cfRule>
  </conditionalFormatting>
  <conditionalFormatting sqref="H21">
    <cfRule type="expression" dxfId="92" priority="93">
      <formula>H$5</formula>
    </cfRule>
  </conditionalFormatting>
  <conditionalFormatting sqref="I21">
    <cfRule type="expression" dxfId="91" priority="92">
      <formula>I$5</formula>
    </cfRule>
  </conditionalFormatting>
  <conditionalFormatting sqref="J21">
    <cfRule type="expression" dxfId="90" priority="91">
      <formula>J$5</formula>
    </cfRule>
  </conditionalFormatting>
  <conditionalFormatting sqref="K21">
    <cfRule type="expression" dxfId="89" priority="90">
      <formula>K$5</formula>
    </cfRule>
  </conditionalFormatting>
  <conditionalFormatting sqref="L21">
    <cfRule type="expression" dxfId="88" priority="89">
      <formula>L$5</formula>
    </cfRule>
  </conditionalFormatting>
  <conditionalFormatting sqref="C24">
    <cfRule type="expression" dxfId="87" priority="88">
      <formula>C$5</formula>
    </cfRule>
  </conditionalFormatting>
  <conditionalFormatting sqref="D24">
    <cfRule type="expression" dxfId="86" priority="87">
      <formula>D$5</formula>
    </cfRule>
  </conditionalFormatting>
  <conditionalFormatting sqref="E24">
    <cfRule type="expression" dxfId="85" priority="86">
      <formula>E$5</formula>
    </cfRule>
  </conditionalFormatting>
  <conditionalFormatting sqref="F24">
    <cfRule type="expression" dxfId="84" priority="85">
      <formula>F$5</formula>
    </cfRule>
  </conditionalFormatting>
  <conditionalFormatting sqref="G24">
    <cfRule type="expression" dxfId="83" priority="84">
      <formula>G$5</formula>
    </cfRule>
  </conditionalFormatting>
  <conditionalFormatting sqref="H24">
    <cfRule type="expression" dxfId="82" priority="83">
      <formula>H$5</formula>
    </cfRule>
  </conditionalFormatting>
  <conditionalFormatting sqref="I24">
    <cfRule type="expression" dxfId="81" priority="82">
      <formula>I$5</formula>
    </cfRule>
  </conditionalFormatting>
  <conditionalFormatting sqref="J24">
    <cfRule type="expression" dxfId="80" priority="81">
      <formula>J$5</formula>
    </cfRule>
  </conditionalFormatting>
  <conditionalFormatting sqref="K24">
    <cfRule type="expression" dxfId="79" priority="80">
      <formula>K$5</formula>
    </cfRule>
  </conditionalFormatting>
  <conditionalFormatting sqref="L24">
    <cfRule type="expression" dxfId="78" priority="79">
      <formula>L$5</formula>
    </cfRule>
  </conditionalFormatting>
  <conditionalFormatting sqref="C27">
    <cfRule type="expression" dxfId="77" priority="78">
      <formula>C$5</formula>
    </cfRule>
  </conditionalFormatting>
  <conditionalFormatting sqref="D27">
    <cfRule type="expression" dxfId="76" priority="77">
      <formula>D$5</formula>
    </cfRule>
  </conditionalFormatting>
  <conditionalFormatting sqref="E27">
    <cfRule type="expression" dxfId="75" priority="76">
      <formula>E$5</formula>
    </cfRule>
  </conditionalFormatting>
  <conditionalFormatting sqref="F27">
    <cfRule type="expression" dxfId="74" priority="75">
      <formula>F$5</formula>
    </cfRule>
  </conditionalFormatting>
  <conditionalFormatting sqref="G27">
    <cfRule type="expression" dxfId="73" priority="74">
      <formula>G$5</formula>
    </cfRule>
  </conditionalFormatting>
  <conditionalFormatting sqref="H27">
    <cfRule type="expression" dxfId="72" priority="73">
      <formula>H$5</formula>
    </cfRule>
  </conditionalFormatting>
  <conditionalFormatting sqref="I27">
    <cfRule type="expression" dxfId="71" priority="72">
      <formula>I$5</formula>
    </cfRule>
  </conditionalFormatting>
  <conditionalFormatting sqref="J27">
    <cfRule type="expression" dxfId="70" priority="71">
      <formula>J$5</formula>
    </cfRule>
  </conditionalFormatting>
  <conditionalFormatting sqref="K27">
    <cfRule type="expression" dxfId="69" priority="70">
      <formula>K$5</formula>
    </cfRule>
  </conditionalFormatting>
  <conditionalFormatting sqref="L30">
    <cfRule type="expression" dxfId="68" priority="59">
      <formula>L$5</formula>
    </cfRule>
  </conditionalFormatting>
  <conditionalFormatting sqref="C30">
    <cfRule type="expression" dxfId="67" priority="68">
      <formula>C$5</formula>
    </cfRule>
  </conditionalFormatting>
  <conditionalFormatting sqref="D30">
    <cfRule type="expression" dxfId="66" priority="67">
      <formula>D$5</formula>
    </cfRule>
  </conditionalFormatting>
  <conditionalFormatting sqref="E30">
    <cfRule type="expression" dxfId="65" priority="66">
      <formula>E$5</formula>
    </cfRule>
  </conditionalFormatting>
  <conditionalFormatting sqref="F30">
    <cfRule type="expression" dxfId="64" priority="65">
      <formula>F$5</formula>
    </cfRule>
  </conditionalFormatting>
  <conditionalFormatting sqref="G30">
    <cfRule type="expression" dxfId="63" priority="64">
      <formula>G$5</formula>
    </cfRule>
  </conditionalFormatting>
  <conditionalFormatting sqref="H30">
    <cfRule type="expression" dxfId="62" priority="63">
      <formula>H$5</formula>
    </cfRule>
  </conditionalFormatting>
  <conditionalFormatting sqref="I30">
    <cfRule type="expression" dxfId="61" priority="62">
      <formula>I$5</formula>
    </cfRule>
  </conditionalFormatting>
  <conditionalFormatting sqref="J30">
    <cfRule type="expression" dxfId="60" priority="61">
      <formula>J$5</formula>
    </cfRule>
  </conditionalFormatting>
  <conditionalFormatting sqref="K30">
    <cfRule type="expression" dxfId="59" priority="60">
      <formula>K$5</formula>
    </cfRule>
  </conditionalFormatting>
  <conditionalFormatting sqref="L31">
    <cfRule type="expression" dxfId="58" priority="49">
      <formula>L$5</formula>
    </cfRule>
  </conditionalFormatting>
  <conditionalFormatting sqref="C31">
    <cfRule type="expression" dxfId="57" priority="58">
      <formula>C$5</formula>
    </cfRule>
  </conditionalFormatting>
  <conditionalFormatting sqref="D31">
    <cfRule type="expression" dxfId="56" priority="57">
      <formula>D$5</formula>
    </cfRule>
  </conditionalFormatting>
  <conditionalFormatting sqref="E31">
    <cfRule type="expression" dxfId="55" priority="56">
      <formula>E$5</formula>
    </cfRule>
  </conditionalFormatting>
  <conditionalFormatting sqref="F31">
    <cfRule type="expression" dxfId="54" priority="55">
      <formula>F$5</formula>
    </cfRule>
  </conditionalFormatting>
  <conditionalFormatting sqref="G31">
    <cfRule type="expression" dxfId="53" priority="54">
      <formula>G$5</formula>
    </cfRule>
  </conditionalFormatting>
  <conditionalFormatting sqref="H31">
    <cfRule type="expression" dxfId="52" priority="53">
      <formula>H$5</formula>
    </cfRule>
  </conditionalFormatting>
  <conditionalFormatting sqref="I31">
    <cfRule type="expression" dxfId="51" priority="52">
      <formula>I$5</formula>
    </cfRule>
  </conditionalFormatting>
  <conditionalFormatting sqref="J31">
    <cfRule type="expression" dxfId="50" priority="51">
      <formula>J$5</formula>
    </cfRule>
  </conditionalFormatting>
  <conditionalFormatting sqref="K31">
    <cfRule type="expression" dxfId="49" priority="50">
      <formula>K$5</formula>
    </cfRule>
  </conditionalFormatting>
  <conditionalFormatting sqref="L32">
    <cfRule type="expression" dxfId="48" priority="39">
      <formula>L$5</formula>
    </cfRule>
  </conditionalFormatting>
  <conditionalFormatting sqref="C32">
    <cfRule type="expression" dxfId="47" priority="48">
      <formula>C$5</formula>
    </cfRule>
  </conditionalFormatting>
  <conditionalFormatting sqref="D32">
    <cfRule type="expression" dxfId="46" priority="47">
      <formula>D$5</formula>
    </cfRule>
  </conditionalFormatting>
  <conditionalFormatting sqref="E32">
    <cfRule type="expression" dxfId="45" priority="46">
      <formula>E$5</formula>
    </cfRule>
  </conditionalFormatting>
  <conditionalFormatting sqref="F32">
    <cfRule type="expression" dxfId="44" priority="45">
      <formula>F$5</formula>
    </cfRule>
  </conditionalFormatting>
  <conditionalFormatting sqref="G32">
    <cfRule type="expression" dxfId="43" priority="44">
      <formula>G$5</formula>
    </cfRule>
  </conditionalFormatting>
  <conditionalFormatting sqref="H32">
    <cfRule type="expression" dxfId="42" priority="43">
      <formula>H$5</formula>
    </cfRule>
  </conditionalFormatting>
  <conditionalFormatting sqref="I32">
    <cfRule type="expression" dxfId="41" priority="42">
      <formula>I$5</formula>
    </cfRule>
  </conditionalFormatting>
  <conditionalFormatting sqref="J32">
    <cfRule type="expression" dxfId="40" priority="41">
      <formula>J$5</formula>
    </cfRule>
  </conditionalFormatting>
  <conditionalFormatting sqref="K32">
    <cfRule type="expression" dxfId="39" priority="40">
      <formula>K$5</formula>
    </cfRule>
  </conditionalFormatting>
  <conditionalFormatting sqref="L35">
    <cfRule type="expression" dxfId="38" priority="29">
      <formula>L$5</formula>
    </cfRule>
  </conditionalFormatting>
  <conditionalFormatting sqref="C35">
    <cfRule type="expression" dxfId="37" priority="38">
      <formula>C$5</formula>
    </cfRule>
  </conditionalFormatting>
  <conditionalFormatting sqref="D35">
    <cfRule type="expression" dxfId="36" priority="37">
      <formula>D$5</formula>
    </cfRule>
  </conditionalFormatting>
  <conditionalFormatting sqref="E35">
    <cfRule type="expression" dxfId="35" priority="36">
      <formula>E$5</formula>
    </cfRule>
  </conditionalFormatting>
  <conditionalFormatting sqref="F35">
    <cfRule type="expression" dxfId="34" priority="35">
      <formula>F$5</formula>
    </cfRule>
  </conditionalFormatting>
  <conditionalFormatting sqref="G35">
    <cfRule type="expression" dxfId="33" priority="34">
      <formula>G$5</formula>
    </cfRule>
  </conditionalFormatting>
  <conditionalFormatting sqref="H35">
    <cfRule type="expression" dxfId="32" priority="33">
      <formula>H$5</formula>
    </cfRule>
  </conditionalFormatting>
  <conditionalFormatting sqref="I35">
    <cfRule type="expression" dxfId="31" priority="32">
      <formula>I$5</formula>
    </cfRule>
  </conditionalFormatting>
  <conditionalFormatting sqref="J35">
    <cfRule type="expression" dxfId="30" priority="31">
      <formula>J$5</formula>
    </cfRule>
  </conditionalFormatting>
  <conditionalFormatting sqref="K35">
    <cfRule type="expression" dxfId="29" priority="30">
      <formula>K$5</formula>
    </cfRule>
  </conditionalFormatting>
  <conditionalFormatting sqref="L36">
    <cfRule type="expression" dxfId="28" priority="19">
      <formula>L$5</formula>
    </cfRule>
  </conditionalFormatting>
  <conditionalFormatting sqref="C36">
    <cfRule type="expression" dxfId="27" priority="28">
      <formula>C$5</formula>
    </cfRule>
  </conditionalFormatting>
  <conditionalFormatting sqref="D36">
    <cfRule type="expression" dxfId="26" priority="27">
      <formula>D$5</formula>
    </cfRule>
  </conditionalFormatting>
  <conditionalFormatting sqref="E36">
    <cfRule type="expression" dxfId="25" priority="26">
      <formula>E$5</formula>
    </cfRule>
  </conditionalFormatting>
  <conditionalFormatting sqref="F36">
    <cfRule type="expression" dxfId="24" priority="25">
      <formula>F$5</formula>
    </cfRule>
  </conditionalFormatting>
  <conditionalFormatting sqref="G36">
    <cfRule type="expression" dxfId="23" priority="24">
      <formula>G$5</formula>
    </cfRule>
  </conditionalFormatting>
  <conditionalFormatting sqref="H36">
    <cfRule type="expression" dxfId="22" priority="23">
      <formula>H$5</formula>
    </cfRule>
  </conditionalFormatting>
  <conditionalFormatting sqref="I36">
    <cfRule type="expression" dxfId="21" priority="22">
      <formula>I$5</formula>
    </cfRule>
  </conditionalFormatting>
  <conditionalFormatting sqref="J36">
    <cfRule type="expression" dxfId="20" priority="21">
      <formula>J$5</formula>
    </cfRule>
  </conditionalFormatting>
  <conditionalFormatting sqref="K36">
    <cfRule type="expression" dxfId="19" priority="20">
      <formula>K$5</formula>
    </cfRule>
  </conditionalFormatting>
  <conditionalFormatting sqref="D9">
    <cfRule type="expression" dxfId="18" priority="18">
      <formula>D$6</formula>
    </cfRule>
  </conditionalFormatting>
  <conditionalFormatting sqref="E9">
    <cfRule type="expression" dxfId="17" priority="17">
      <formula>E$6</formula>
    </cfRule>
  </conditionalFormatting>
  <conditionalFormatting sqref="F9">
    <cfRule type="expression" dxfId="16" priority="16">
      <formula>F$6</formula>
    </cfRule>
  </conditionalFormatting>
  <conditionalFormatting sqref="G9">
    <cfRule type="expression" dxfId="15" priority="15">
      <formula>G$6</formula>
    </cfRule>
  </conditionalFormatting>
  <conditionalFormatting sqref="H9">
    <cfRule type="expression" dxfId="14" priority="14">
      <formula>H$6</formula>
    </cfRule>
  </conditionalFormatting>
  <conditionalFormatting sqref="I9">
    <cfRule type="expression" dxfId="13" priority="13">
      <formula>I$6</formula>
    </cfRule>
  </conditionalFormatting>
  <conditionalFormatting sqref="J9">
    <cfRule type="expression" dxfId="12" priority="12">
      <formula>J$6</formula>
    </cfRule>
  </conditionalFormatting>
  <conditionalFormatting sqref="K9">
    <cfRule type="expression" dxfId="11" priority="11">
      <formula>K$6</formula>
    </cfRule>
  </conditionalFormatting>
  <conditionalFormatting sqref="L9">
    <cfRule type="expression" dxfId="10" priority="10">
      <formula>L$6</formula>
    </cfRule>
  </conditionalFormatting>
  <conditionalFormatting sqref="C8">
    <cfRule type="expression" dxfId="9" priority="108">
      <formula>C$3</formula>
    </cfRule>
  </conditionalFormatting>
  <conditionalFormatting sqref="D8">
    <cfRule type="expression" dxfId="8" priority="9">
      <formula>D$3</formula>
    </cfRule>
  </conditionalFormatting>
  <conditionalFormatting sqref="E8">
    <cfRule type="expression" dxfId="7" priority="8">
      <formula>E$3</formula>
    </cfRule>
  </conditionalFormatting>
  <conditionalFormatting sqref="F8">
    <cfRule type="expression" dxfId="6" priority="7">
      <formula>F$3</formula>
    </cfRule>
  </conditionalFormatting>
  <conditionalFormatting sqref="G8">
    <cfRule type="expression" dxfId="5" priority="6">
      <formula>G$3</formula>
    </cfRule>
  </conditionalFormatting>
  <conditionalFormatting sqref="H8">
    <cfRule type="expression" dxfId="4" priority="5">
      <formula>H$3</formula>
    </cfRule>
  </conditionalFormatting>
  <conditionalFormatting sqref="I8">
    <cfRule type="expression" dxfId="3" priority="4">
      <formula>I$3</formula>
    </cfRule>
  </conditionalFormatting>
  <conditionalFormatting sqref="J8">
    <cfRule type="expression" dxfId="2" priority="3">
      <formula>J$3</formula>
    </cfRule>
  </conditionalFormatting>
  <conditionalFormatting sqref="K8">
    <cfRule type="expression" dxfId="1" priority="2">
      <formula>K$3</formula>
    </cfRule>
  </conditionalFormatting>
  <conditionalFormatting sqref="L8">
    <cfRule type="expression" dxfId="0" priority="1">
      <formula>L$3</formula>
    </cfRule>
  </conditionalFormatting>
  <dataValidations count="1">
    <dataValidation allowBlank="1" showInputMessage="1" showErrorMessage="1" prompt="Any in kind contribution needs to be included here as income and also as a cost in the &quot;How Much Do I Need?&quot; box in Step 5." sqref="C15:L18"/>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J43"/>
  <sheetViews>
    <sheetView topLeftCell="A19" workbookViewId="0">
      <selection activeCell="C38" sqref="C38"/>
    </sheetView>
  </sheetViews>
  <sheetFormatPr defaultRowHeight="15" x14ac:dyDescent="0.25"/>
  <cols>
    <col min="1" max="1" width="44.140625" bestFit="1" customWidth="1"/>
    <col min="5" max="5" width="21.7109375" bestFit="1" customWidth="1"/>
    <col min="9" max="9" width="11.7109375" bestFit="1" customWidth="1"/>
    <col min="10" max="10" width="12.85546875" bestFit="1" customWidth="1"/>
    <col min="13" max="13" width="9.85546875" bestFit="1" customWidth="1"/>
  </cols>
  <sheetData>
    <row r="1" spans="1:5" x14ac:dyDescent="0.25">
      <c r="A1" s="1" t="s">
        <v>10</v>
      </c>
      <c r="E1" s="1" t="s">
        <v>68</v>
      </c>
    </row>
    <row r="2" spans="1:5" x14ac:dyDescent="0.25">
      <c r="A2" t="s">
        <v>11</v>
      </c>
      <c r="E2" t="s">
        <v>70</v>
      </c>
    </row>
    <row r="3" spans="1:5" x14ac:dyDescent="0.25">
      <c r="A3" t="s">
        <v>12</v>
      </c>
      <c r="E3" t="s">
        <v>71</v>
      </c>
    </row>
    <row r="4" spans="1:5" x14ac:dyDescent="0.25">
      <c r="E4" t="s">
        <v>72</v>
      </c>
    </row>
    <row r="5" spans="1:5" x14ac:dyDescent="0.25">
      <c r="A5" s="1" t="s">
        <v>13</v>
      </c>
    </row>
    <row r="6" spans="1:5" x14ac:dyDescent="0.25">
      <c r="A6" t="s">
        <v>14</v>
      </c>
      <c r="E6" s="1" t="s">
        <v>74</v>
      </c>
    </row>
    <row r="7" spans="1:5" x14ac:dyDescent="0.25">
      <c r="A7" t="s">
        <v>15</v>
      </c>
      <c r="E7" t="s">
        <v>98</v>
      </c>
    </row>
    <row r="8" spans="1:5" x14ac:dyDescent="0.25">
      <c r="E8" t="s">
        <v>75</v>
      </c>
    </row>
    <row r="9" spans="1:5" x14ac:dyDescent="0.25">
      <c r="A9" s="1" t="s">
        <v>30</v>
      </c>
    </row>
    <row r="10" spans="1:5" x14ac:dyDescent="0.25">
      <c r="A10" s="4" t="b">
        <v>1</v>
      </c>
      <c r="B10" t="s">
        <v>31</v>
      </c>
    </row>
    <row r="11" spans="1:5" x14ac:dyDescent="0.25">
      <c r="A11" t="b">
        <v>0</v>
      </c>
      <c r="B11" t="s">
        <v>32</v>
      </c>
    </row>
    <row r="13" spans="1:5" x14ac:dyDescent="0.25">
      <c r="A13" s="1" t="s">
        <v>40</v>
      </c>
    </row>
    <row r="14" spans="1:5" x14ac:dyDescent="0.25">
      <c r="A14">
        <v>1</v>
      </c>
    </row>
    <row r="15" spans="1:5" x14ac:dyDescent="0.25">
      <c r="A15">
        <v>2</v>
      </c>
    </row>
    <row r="16" spans="1:5" x14ac:dyDescent="0.25">
      <c r="A16">
        <v>3</v>
      </c>
    </row>
    <row r="17" spans="1:10" x14ac:dyDescent="0.25">
      <c r="A17">
        <v>4</v>
      </c>
    </row>
    <row r="18" spans="1:10" x14ac:dyDescent="0.25">
      <c r="A18">
        <v>5</v>
      </c>
    </row>
    <row r="19" spans="1:10" x14ac:dyDescent="0.25">
      <c r="A19">
        <v>6</v>
      </c>
    </row>
    <row r="20" spans="1:10" x14ac:dyDescent="0.25">
      <c r="A20">
        <v>7</v>
      </c>
    </row>
    <row r="21" spans="1:10" x14ac:dyDescent="0.25">
      <c r="A21">
        <v>8</v>
      </c>
    </row>
    <row r="22" spans="1:10" x14ac:dyDescent="0.25">
      <c r="A22">
        <v>9</v>
      </c>
    </row>
    <row r="23" spans="1:10" x14ac:dyDescent="0.25">
      <c r="A23">
        <v>10</v>
      </c>
    </row>
    <row r="25" spans="1:10" x14ac:dyDescent="0.25">
      <c r="A25">
        <v>1</v>
      </c>
      <c r="B25">
        <v>2</v>
      </c>
      <c r="C25">
        <v>3</v>
      </c>
      <c r="D25">
        <v>4</v>
      </c>
      <c r="E25">
        <v>5</v>
      </c>
      <c r="F25">
        <v>6</v>
      </c>
      <c r="G25">
        <v>7</v>
      </c>
      <c r="H25">
        <v>8</v>
      </c>
      <c r="I25">
        <v>9</v>
      </c>
      <c r="J25">
        <v>10</v>
      </c>
    </row>
    <row r="26" spans="1:10" x14ac:dyDescent="0.25">
      <c r="A26" s="1" t="s">
        <v>39</v>
      </c>
      <c r="B26" t="s">
        <v>51</v>
      </c>
      <c r="C26" t="s">
        <v>52</v>
      </c>
      <c r="D26" t="s">
        <v>53</v>
      </c>
      <c r="E26" t="s">
        <v>54</v>
      </c>
      <c r="F26" t="s">
        <v>55</v>
      </c>
      <c r="G26" t="s">
        <v>56</v>
      </c>
      <c r="H26" t="s">
        <v>57</v>
      </c>
      <c r="I26" t="s">
        <v>156</v>
      </c>
      <c r="J26" t="s">
        <v>5</v>
      </c>
    </row>
    <row r="27" spans="1:10" x14ac:dyDescent="0.25">
      <c r="A27" s="29" t="s">
        <v>43</v>
      </c>
      <c r="B27" s="29" t="b">
        <f>IF(GettingStarted!D20="Yes",TRUE,IF(GettingStarted!D20="No",FALSE,TRUE))</f>
        <v>1</v>
      </c>
      <c r="C27" s="29" t="b">
        <f>IF(GettingStarted!E20="Yes",TRUE,IF(GettingStarted!E20="No",FALSE,TRUE))</f>
        <v>1</v>
      </c>
      <c r="D27" s="29" t="b">
        <f>IF(GettingStarted!F20="Yes",TRUE,IF(GettingStarted!F20="No",FALSE,TRUE))</f>
        <v>1</v>
      </c>
      <c r="E27" s="29" t="b">
        <f>IF(GettingStarted!G20="Yes",TRUE,IF(GettingStarted!G20="No",FALSE,TRUE))</f>
        <v>1</v>
      </c>
      <c r="F27" s="29" t="b">
        <f>IF(GettingStarted!H20="Yes",TRUE,IF(GettingStarted!H20="No",FALSE,TRUE))</f>
        <v>1</v>
      </c>
      <c r="G27" s="29" t="b">
        <f>IF(GettingStarted!L20="Yes",TRUE,IF(GettingStarted!L20="No",FALSE,TRUE))</f>
        <v>1</v>
      </c>
      <c r="H27" s="29" t="b">
        <f>IF(GettingStarted!M20="Yes",TRUE,IF(GettingStarted!M20="No",FALSE,TRUE))</f>
        <v>1</v>
      </c>
      <c r="I27" s="29" t="b">
        <f>IF(GettingStarted!N20="Yes",TRUE,IF(GettingStarted!N20="No",FALSE,TRUE))</f>
        <v>1</v>
      </c>
      <c r="J27" s="29" t="b">
        <f>IF(GettingStarted!O20="Yes",TRUE,IF(GettingStarted!O20="No",FALSE,TRUE))</f>
        <v>1</v>
      </c>
    </row>
    <row r="28" spans="1:10" x14ac:dyDescent="0.25">
      <c r="A28" s="29" t="s">
        <v>44</v>
      </c>
      <c r="B28" s="29" t="b">
        <f>IF(GettingStarted!D21="Yes",TRUE,IF(GettingStarted!D21="No",FALSE,TRUE))</f>
        <v>1</v>
      </c>
      <c r="C28" s="29" t="b">
        <f>IF(GettingStarted!E21="Yes",TRUE,IF(GettingStarted!E21="No",FALSE,TRUE))</f>
        <v>1</v>
      </c>
      <c r="D28" s="29" t="b">
        <f>IF(GettingStarted!F21="Yes",TRUE,IF(GettingStarted!F21="No",FALSE,TRUE))</f>
        <v>1</v>
      </c>
      <c r="E28" s="29" t="b">
        <f>IF(GettingStarted!G21="Yes",TRUE,IF(GettingStarted!G21="No",FALSE,TRUE))</f>
        <v>1</v>
      </c>
      <c r="F28" s="29" t="b">
        <f>IF(GettingStarted!H21="Yes",TRUE,IF(GettingStarted!H21="No",FALSE,TRUE))</f>
        <v>1</v>
      </c>
      <c r="G28" s="29" t="b">
        <f>IF(GettingStarted!L21="Yes",TRUE,IF(GettingStarted!L21="No",FALSE,TRUE))</f>
        <v>1</v>
      </c>
      <c r="H28" s="29" t="b">
        <f>IF(GettingStarted!M21="Yes",TRUE,IF(GettingStarted!M21="No",FALSE,TRUE))</f>
        <v>1</v>
      </c>
      <c r="I28" s="29" t="b">
        <f>IF(GettingStarted!N21="Yes",TRUE,IF(GettingStarted!N21="No",FALSE,TRUE))</f>
        <v>1</v>
      </c>
      <c r="J28" s="29" t="b">
        <f>IF(GettingStarted!O21="Yes",TRUE,IF(GettingStarted!O21="No",FALSE,TRUE))</f>
        <v>1</v>
      </c>
    </row>
    <row r="29" spans="1:10" x14ac:dyDescent="0.25">
      <c r="A29" s="29" t="s">
        <v>42</v>
      </c>
      <c r="B29" s="29" t="b">
        <f>IF(GettingStarted!D22="Yes",TRUE,IF(GettingStarted!D22="No",FALSE,TRUE))</f>
        <v>0</v>
      </c>
      <c r="C29" s="29" t="b">
        <f>IF(GettingStarted!E22="Yes",TRUE,IF(GettingStarted!E22="No",FALSE,TRUE))</f>
        <v>0</v>
      </c>
      <c r="D29" s="29" t="b">
        <f>IF(GettingStarted!F22="Yes",TRUE,IF(GettingStarted!F22="No",FALSE,TRUE))</f>
        <v>0</v>
      </c>
      <c r="E29" s="29" t="b">
        <f>IF(GettingStarted!G22="Yes",TRUE,IF(GettingStarted!G22="No",FALSE,TRUE))</f>
        <v>0</v>
      </c>
      <c r="F29" s="29" t="b">
        <f>IF(GettingStarted!H22="Yes",TRUE,IF(GettingStarted!H22="No",FALSE,TRUE))</f>
        <v>0</v>
      </c>
      <c r="G29" s="29" t="b">
        <f>IF(GettingStarted!L22="Yes",TRUE,IF(GettingStarted!L22="No",FALSE,TRUE))</f>
        <v>0</v>
      </c>
      <c r="H29" s="29" t="b">
        <f>IF(GettingStarted!M22="Yes",TRUE,IF(GettingStarted!M22="No",FALSE,TRUE))</f>
        <v>1</v>
      </c>
      <c r="I29" s="29" t="b">
        <f>IF(GettingStarted!N22="Yes",TRUE,IF(GettingStarted!N22="No",FALSE,TRUE))</f>
        <v>1</v>
      </c>
      <c r="J29" s="29" t="b">
        <f>IF(GettingStarted!O22="Yes",TRUE,IF(GettingStarted!O22="No",FALSE,TRUE))</f>
        <v>1</v>
      </c>
    </row>
    <row r="30" spans="1:10" x14ac:dyDescent="0.25">
      <c r="A30" s="29" t="s">
        <v>41</v>
      </c>
      <c r="B30" s="29" t="b">
        <f>IF(GettingStarted!D23="Yes",TRUE,IF(GettingStarted!D23="No",FALSE,TRUE))</f>
        <v>0</v>
      </c>
      <c r="C30" s="29" t="b">
        <f>IF(GettingStarted!E23="Yes",TRUE,IF(GettingStarted!E23="No",FALSE,TRUE))</f>
        <v>1</v>
      </c>
      <c r="D30" s="29" t="b">
        <f>IF(GettingStarted!F23="Yes",TRUE,IF(GettingStarted!F23="No",FALSE,TRUE))</f>
        <v>0</v>
      </c>
      <c r="E30" s="29" t="b">
        <f>IF(GettingStarted!G23="Yes",TRUE,IF(GettingStarted!G23="No",FALSE,TRUE))</f>
        <v>0</v>
      </c>
      <c r="F30" s="29" t="b">
        <f>IF(GettingStarted!H23="Yes",TRUE,IF(GettingStarted!H23="No",FALSE,TRUE))</f>
        <v>1</v>
      </c>
      <c r="G30" s="29" t="b">
        <f>IF(GettingStarted!L23="Yes",TRUE,IF(GettingStarted!L23="No",FALSE,TRUE))</f>
        <v>1</v>
      </c>
      <c r="H30" s="29" t="b">
        <f>IF(GettingStarted!M23="Yes",TRUE,IF(GettingStarted!M23="No",FALSE,TRUE))</f>
        <v>1</v>
      </c>
      <c r="I30" s="29" t="b">
        <f>IF(GettingStarted!N23="Yes",TRUE,IF(GettingStarted!N23="No",FALSE,TRUE))</f>
        <v>1</v>
      </c>
      <c r="J30" s="29" t="b">
        <f>IF(GettingStarted!O23="Yes",TRUE,IF(GettingStarted!O23="No",FALSE,TRUE))</f>
        <v>1</v>
      </c>
    </row>
    <row r="31" spans="1:10" x14ac:dyDescent="0.25">
      <c r="A31" s="29" t="s">
        <v>176</v>
      </c>
      <c r="B31" s="29" t="b">
        <f>IF(GettingStarted!D24="Yes",TRUE,IF(GettingStarted!D24="No",FALSE,TRUE))</f>
        <v>0</v>
      </c>
      <c r="C31" s="29" t="b">
        <f>IF(GettingStarted!E24="Yes",TRUE,IF(GettingStarted!E24="No",FALSE,TRUE))</f>
        <v>0</v>
      </c>
      <c r="D31" s="29" t="b">
        <f>IF(GettingStarted!F24="Yes",TRUE,IF(GettingStarted!F24="No",FALSE,TRUE))</f>
        <v>1</v>
      </c>
      <c r="E31" s="29" t="b">
        <f>IF(GettingStarted!G24="Yes",TRUE,IF(GettingStarted!G24="No",FALSE,TRUE))</f>
        <v>1</v>
      </c>
      <c r="F31" s="29" t="b">
        <f>IF(GettingStarted!H24="Yes",TRUE,IF(GettingStarted!H24="No",FALSE,TRUE))</f>
        <v>1</v>
      </c>
      <c r="G31" s="29" t="b">
        <f>IF(GettingStarted!L24="Yes",TRUE,IF(GettingStarted!L24="No",FALSE,TRUE))</f>
        <v>0</v>
      </c>
      <c r="H31" s="29" t="b">
        <f>IF(GettingStarted!M24="Yes",TRUE,IF(GettingStarted!M24="No",FALSE,TRUE))</f>
        <v>1</v>
      </c>
      <c r="I31" s="29" t="b">
        <f>IF(GettingStarted!N24="Yes",TRUE,IF(GettingStarted!N24="No",FALSE,TRUE))</f>
        <v>1</v>
      </c>
      <c r="J31" s="29" t="b">
        <f>IF(GettingStarted!O24="Yes",TRUE,IF(GettingStarted!O24="No",FALSE,TRUE))</f>
        <v>1</v>
      </c>
    </row>
    <row r="32" spans="1:10" x14ac:dyDescent="0.25">
      <c r="A32" s="29" t="s">
        <v>46</v>
      </c>
      <c r="B32" s="29" t="b">
        <f>IF(GettingStarted!D25="Yes",TRUE,IF(GettingStarted!D25="No",FALSE,TRUE))</f>
        <v>0</v>
      </c>
      <c r="C32" s="29" t="b">
        <f>IF(GettingStarted!E25="Yes",TRUE,IF(GettingStarted!E25="No",FALSE,TRUE))</f>
        <v>0</v>
      </c>
      <c r="D32" s="29" t="b">
        <f>IF(GettingStarted!F25="Yes",TRUE,IF(GettingStarted!F25="No",FALSE,TRUE))</f>
        <v>0</v>
      </c>
      <c r="E32" s="29" t="b">
        <f>IF(GettingStarted!G25="Yes",TRUE,IF(GettingStarted!G25="No",FALSE,TRUE))</f>
        <v>0</v>
      </c>
      <c r="F32" s="29" t="b">
        <f>IF(GettingStarted!H25="Yes",TRUE,IF(GettingStarted!H25="No",FALSE,TRUE))</f>
        <v>0</v>
      </c>
      <c r="G32" s="29" t="b">
        <f>IF(GettingStarted!L25="Yes",TRUE,IF(GettingStarted!L25="No",FALSE,TRUE))</f>
        <v>0</v>
      </c>
      <c r="H32" s="29" t="b">
        <f>IF(GettingStarted!M25="Yes",TRUE,IF(GettingStarted!M25="No",FALSE,TRUE))</f>
        <v>1</v>
      </c>
      <c r="I32" s="29" t="b">
        <f>IF(GettingStarted!N25="Yes",TRUE,IF(GettingStarted!N25="No",FALSE,TRUE))</f>
        <v>0</v>
      </c>
      <c r="J32" s="29" t="b">
        <f>IF(GettingStarted!O25="Yes",TRUE,IF(GettingStarted!O25="No",FALSE,TRUE))</f>
        <v>1</v>
      </c>
    </row>
    <row r="33" spans="1:10" x14ac:dyDescent="0.25">
      <c r="A33" s="29" t="s">
        <v>45</v>
      </c>
      <c r="B33" s="29" t="b">
        <f>IF(GettingStarted!D26="Yes",TRUE,IF(GettingStarted!D26="No",FALSE,TRUE))</f>
        <v>0</v>
      </c>
      <c r="C33" s="29" t="b">
        <f>IF(GettingStarted!E26="Yes",TRUE,IF(GettingStarted!E26="No",FALSE,TRUE))</f>
        <v>0</v>
      </c>
      <c r="D33" s="29" t="b">
        <f>IF(GettingStarted!F26="Yes",TRUE,IF(GettingStarted!F26="No",FALSE,TRUE))</f>
        <v>0</v>
      </c>
      <c r="E33" s="29" t="b">
        <f>IF(GettingStarted!G26="Yes",TRUE,IF(GettingStarted!G26="No",FALSE,TRUE))</f>
        <v>0</v>
      </c>
      <c r="F33" s="29" t="b">
        <f>IF(GettingStarted!H26="Yes",TRUE,IF(GettingStarted!H26="No",FALSE,TRUE))</f>
        <v>0</v>
      </c>
      <c r="G33" s="29" t="b">
        <f>IF(GettingStarted!L26="Yes",TRUE,IF(GettingStarted!L26="No",FALSE,TRUE))</f>
        <v>0</v>
      </c>
      <c r="H33" s="29" t="b">
        <f>IF(GettingStarted!M26="Yes",TRUE,IF(GettingStarted!M26="No",FALSE,TRUE))</f>
        <v>1</v>
      </c>
      <c r="I33" s="29" t="b">
        <f>IF(GettingStarted!N26="Yes",TRUE,IF(GettingStarted!N26="No",FALSE,TRUE))</f>
        <v>1</v>
      </c>
      <c r="J33" s="29" t="b">
        <f>IF(GettingStarted!O26="Yes",TRUE,IF(GettingStarted!O26="No",FALSE,TRUE))</f>
        <v>1</v>
      </c>
    </row>
    <row r="34" spans="1:10" x14ac:dyDescent="0.25">
      <c r="A34" s="29" t="s">
        <v>243</v>
      </c>
      <c r="B34" s="29" t="b">
        <f>IF(GettingStarted!D27="Yes",TRUE,IF(GettingStarted!D27="No",FALSE,TRUE))</f>
        <v>0</v>
      </c>
      <c r="C34" s="29" t="b">
        <f>IF(GettingStarted!E27="Yes",TRUE,IF(GettingStarted!E27="No",FALSE,TRUE))</f>
        <v>0</v>
      </c>
      <c r="D34" s="29" t="b">
        <f>IF(GettingStarted!F27="Yes",TRUE,IF(GettingStarted!F27="No",FALSE,TRUE))</f>
        <v>0</v>
      </c>
      <c r="E34" s="29" t="b">
        <f>IF(GettingStarted!G27="Yes",TRUE,IF(GettingStarted!G27="No",FALSE,TRUE))</f>
        <v>0</v>
      </c>
      <c r="F34" s="29" t="b">
        <f>IF(GettingStarted!H27="Yes",TRUE,IF(GettingStarted!H27="No",FALSE,TRUE))</f>
        <v>0</v>
      </c>
      <c r="G34" s="29" t="b">
        <f>IF(GettingStarted!L27="Yes",TRUE,IF(GettingStarted!L27="No",FALSE,TRUE))</f>
        <v>0</v>
      </c>
      <c r="H34" s="29" t="b">
        <f>IF(GettingStarted!M27="Yes",TRUE,IF(GettingStarted!M27="No",FALSE,TRUE))</f>
        <v>1</v>
      </c>
      <c r="I34" s="29" t="b">
        <f>IF(GettingStarted!N27="Yes",TRUE,IF(GettingStarted!N27="No",FALSE,TRUE))</f>
        <v>0</v>
      </c>
      <c r="J34" s="29" t="b">
        <f>IF(GettingStarted!O27="Yes",TRUE,IF(GettingStarted!O27="No",FALSE,TRUE))</f>
        <v>1</v>
      </c>
    </row>
    <row r="36" spans="1:10" x14ac:dyDescent="0.25">
      <c r="A36" s="1" t="s">
        <v>80</v>
      </c>
      <c r="C36" s="1" t="s">
        <v>85</v>
      </c>
    </row>
    <row r="37" spans="1:10" x14ac:dyDescent="0.25">
      <c r="A37" t="str">
        <f>"GettingStarted!$B$10:$B" &amp; 10+GettingStarted!M2-1</f>
        <v>GettingStarted!$B$10:$B9</v>
      </c>
      <c r="C37" t="s">
        <v>244</v>
      </c>
    </row>
    <row r="38" spans="1:10" x14ac:dyDescent="0.25">
      <c r="C38" t="s">
        <v>87</v>
      </c>
    </row>
    <row r="40" spans="1:10" x14ac:dyDescent="0.25">
      <c r="A40" s="1" t="s">
        <v>157</v>
      </c>
    </row>
    <row r="41" spans="1:10" x14ac:dyDescent="0.25">
      <c r="A41" t="s">
        <v>86</v>
      </c>
    </row>
    <row r="42" spans="1:10" x14ac:dyDescent="0.25">
      <c r="A42" t="s">
        <v>158</v>
      </c>
    </row>
    <row r="43" spans="1:10" x14ac:dyDescent="0.25">
      <c r="A43" t="s">
        <v>87</v>
      </c>
    </row>
  </sheetData>
  <dataValidations count="1">
    <dataValidation type="list" allowBlank="1" showInputMessage="1" showErrorMessage="1" sqref="A38">
      <formula1>$A$37</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
  <sheetViews>
    <sheetView workbookViewId="0">
      <selection activeCell="B19" sqref="B19"/>
    </sheetView>
  </sheetViews>
  <sheetFormatPr defaultRowHeight="15" x14ac:dyDescent="0.25"/>
  <cols>
    <col min="1" max="1" width="54" bestFit="1" customWidth="1"/>
    <col min="2" max="2" width="14" bestFit="1" customWidth="1"/>
    <col min="3" max="8" width="12.7109375" bestFit="1" customWidth="1"/>
    <col min="9" max="11" width="11.5703125" bestFit="1" customWidth="1"/>
  </cols>
  <sheetData>
    <row r="1" spans="1:31" ht="20.25" x14ac:dyDescent="0.3">
      <c r="A1" s="121" t="s">
        <v>205</v>
      </c>
      <c r="B1" s="118"/>
      <c r="C1" s="161"/>
      <c r="D1" s="161"/>
      <c r="E1" s="161"/>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row>
    <row r="2" spans="1:31" x14ac:dyDescent="0.25">
      <c r="A2" s="118"/>
      <c r="B2" s="118"/>
      <c r="C2" s="118"/>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row>
    <row r="3" spans="1:31" x14ac:dyDescent="0.25">
      <c r="A3" s="118" t="s">
        <v>206</v>
      </c>
      <c r="B3" s="122">
        <f>Dashboard!C8</f>
        <v>426000</v>
      </c>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row>
    <row r="4" spans="1:31" x14ac:dyDescent="0.25">
      <c r="A4" s="118" t="s">
        <v>207</v>
      </c>
      <c r="B4" s="123">
        <f>Dashboard!C9</f>
        <v>3.5000000000000003E-2</v>
      </c>
      <c r="C4" s="118"/>
      <c r="D4" s="118"/>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row>
    <row r="5" spans="1:31" x14ac:dyDescent="0.25">
      <c r="A5" s="118" t="s">
        <v>208</v>
      </c>
      <c r="B5" s="124">
        <f>Dashboard!C10</f>
        <v>5</v>
      </c>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row>
    <row r="6" spans="1:31" x14ac:dyDescent="0.25">
      <c r="A6" s="118"/>
      <c r="B6" s="118"/>
      <c r="C6" s="118"/>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row>
    <row r="7" spans="1:31" x14ac:dyDescent="0.25">
      <c r="A7" s="118"/>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row>
    <row r="8" spans="1:31" x14ac:dyDescent="0.25">
      <c r="A8" s="118"/>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row>
    <row r="9" spans="1:31" ht="15.75" thickBot="1" x14ac:dyDescent="0.3">
      <c r="A9" s="125"/>
      <c r="B9" s="125"/>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row>
    <row r="10" spans="1:31" ht="15.75" thickBot="1" x14ac:dyDescent="0.3">
      <c r="A10" s="118" t="s">
        <v>209</v>
      </c>
      <c r="B10" s="118"/>
      <c r="C10" s="126">
        <f>B3</f>
        <v>426000</v>
      </c>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row>
    <row r="11" spans="1:31" x14ac:dyDescent="0.25">
      <c r="A11" s="118"/>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row>
    <row r="12" spans="1:31" x14ac:dyDescent="0.25">
      <c r="A12" s="118"/>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118"/>
      <c r="AE12" s="118"/>
    </row>
    <row r="13" spans="1:31" x14ac:dyDescent="0.25">
      <c r="A13" s="127" t="s">
        <v>210</v>
      </c>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row>
    <row r="14" spans="1:31" x14ac:dyDescent="0.25">
      <c r="A14" s="118" t="s">
        <v>211</v>
      </c>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row>
    <row r="15" spans="1:31" x14ac:dyDescent="0.25">
      <c r="A15" s="118" t="s">
        <v>202</v>
      </c>
      <c r="B15" s="118">
        <v>1</v>
      </c>
      <c r="C15" s="118">
        <f>IF(B15&lt;$B$5,B15+1,"")</f>
        <v>2</v>
      </c>
      <c r="D15" s="118">
        <f t="shared" ref="D15:AE15" si="0">IF(C15&lt;$B$5,C15+1,"")</f>
        <v>3</v>
      </c>
      <c r="E15" s="118">
        <f t="shared" si="0"/>
        <v>4</v>
      </c>
      <c r="F15" s="118">
        <f t="shared" si="0"/>
        <v>5</v>
      </c>
      <c r="G15" s="118" t="str">
        <f t="shared" si="0"/>
        <v/>
      </c>
      <c r="H15" s="118" t="str">
        <f t="shared" si="0"/>
        <v/>
      </c>
      <c r="I15" s="118" t="str">
        <f t="shared" si="0"/>
        <v/>
      </c>
      <c r="J15" s="118" t="str">
        <f t="shared" si="0"/>
        <v/>
      </c>
      <c r="K15" s="118" t="str">
        <f t="shared" si="0"/>
        <v/>
      </c>
      <c r="L15" s="118" t="str">
        <f t="shared" si="0"/>
        <v/>
      </c>
      <c r="M15" s="118" t="str">
        <f t="shared" si="0"/>
        <v/>
      </c>
      <c r="N15" s="118" t="str">
        <f t="shared" si="0"/>
        <v/>
      </c>
      <c r="O15" s="118" t="str">
        <f t="shared" si="0"/>
        <v/>
      </c>
      <c r="P15" s="118" t="str">
        <f t="shared" si="0"/>
        <v/>
      </c>
      <c r="Q15" s="118" t="str">
        <f t="shared" si="0"/>
        <v/>
      </c>
      <c r="R15" s="118" t="str">
        <f t="shared" si="0"/>
        <v/>
      </c>
      <c r="S15" s="118" t="str">
        <f t="shared" si="0"/>
        <v/>
      </c>
      <c r="T15" s="118" t="str">
        <f t="shared" si="0"/>
        <v/>
      </c>
      <c r="U15" s="118" t="str">
        <f t="shared" si="0"/>
        <v/>
      </c>
      <c r="V15" s="118" t="str">
        <f t="shared" si="0"/>
        <v/>
      </c>
      <c r="W15" s="118" t="str">
        <f t="shared" si="0"/>
        <v/>
      </c>
      <c r="X15" s="118" t="str">
        <f t="shared" si="0"/>
        <v/>
      </c>
      <c r="Y15" s="118" t="str">
        <f t="shared" si="0"/>
        <v/>
      </c>
      <c r="Z15" s="118" t="str">
        <f t="shared" si="0"/>
        <v/>
      </c>
      <c r="AA15" s="118" t="str">
        <f t="shared" si="0"/>
        <v/>
      </c>
      <c r="AB15" s="118" t="str">
        <f t="shared" si="0"/>
        <v/>
      </c>
      <c r="AC15" s="118" t="str">
        <f t="shared" si="0"/>
        <v/>
      </c>
      <c r="AD15" s="118" t="str">
        <f t="shared" si="0"/>
        <v/>
      </c>
      <c r="AE15" s="118" t="str">
        <f t="shared" si="0"/>
        <v/>
      </c>
    </row>
    <row r="16" spans="1:31" x14ac:dyDescent="0.25">
      <c r="A16" s="118" t="s">
        <v>203</v>
      </c>
      <c r="B16" s="119">
        <f>IF(B3="",0,IF(B15="","",PMT($B$4,$B$5,$B$3)))</f>
        <v>-94351.064965350364</v>
      </c>
      <c r="C16" s="119">
        <f>IF(C15="","",IF(-B17&gt;PMT($B$4/12,$B$5,$B$3),-B17,PMT($B$4/12,$B$5,$B$3)))</f>
        <v>-85946.947468138838</v>
      </c>
      <c r="D16" s="119">
        <f t="shared" ref="D16:AE16" si="1">IF(D15="","",IF(-C17&gt;PMT($B$4/12,$B$5,$B$3),-C17,PMT($B$4/12,$B$5,$B$3)))</f>
        <v>-85946.947468138838</v>
      </c>
      <c r="E16" s="119">
        <f t="shared" si="1"/>
        <v>-85946.947468138838</v>
      </c>
      <c r="F16" s="119">
        <f t="shared" si="1"/>
        <v>-73808.092630233135</v>
      </c>
      <c r="G16" s="119" t="str">
        <f t="shared" si="1"/>
        <v/>
      </c>
      <c r="H16" s="119" t="str">
        <f t="shared" si="1"/>
        <v/>
      </c>
      <c r="I16" s="119" t="str">
        <f t="shared" si="1"/>
        <v/>
      </c>
      <c r="J16" s="119" t="str">
        <f t="shared" si="1"/>
        <v/>
      </c>
      <c r="K16" s="119" t="str">
        <f t="shared" si="1"/>
        <v/>
      </c>
      <c r="L16" s="119" t="str">
        <f t="shared" si="1"/>
        <v/>
      </c>
      <c r="M16" s="119" t="str">
        <f t="shared" si="1"/>
        <v/>
      </c>
      <c r="N16" s="119" t="str">
        <f t="shared" si="1"/>
        <v/>
      </c>
      <c r="O16" s="119" t="str">
        <f t="shared" si="1"/>
        <v/>
      </c>
      <c r="P16" s="119" t="str">
        <f t="shared" si="1"/>
        <v/>
      </c>
      <c r="Q16" s="119" t="str">
        <f t="shared" si="1"/>
        <v/>
      </c>
      <c r="R16" s="119" t="str">
        <f t="shared" si="1"/>
        <v/>
      </c>
      <c r="S16" s="119" t="str">
        <f t="shared" si="1"/>
        <v/>
      </c>
      <c r="T16" s="119" t="str">
        <f t="shared" si="1"/>
        <v/>
      </c>
      <c r="U16" s="119" t="str">
        <f t="shared" si="1"/>
        <v/>
      </c>
      <c r="V16" s="119" t="str">
        <f t="shared" si="1"/>
        <v/>
      </c>
      <c r="W16" s="119" t="str">
        <f t="shared" si="1"/>
        <v/>
      </c>
      <c r="X16" s="119" t="str">
        <f t="shared" si="1"/>
        <v/>
      </c>
      <c r="Y16" s="119" t="str">
        <f t="shared" si="1"/>
        <v/>
      </c>
      <c r="Z16" s="119" t="str">
        <f t="shared" si="1"/>
        <v/>
      </c>
      <c r="AA16" s="119" t="str">
        <f t="shared" si="1"/>
        <v/>
      </c>
      <c r="AB16" s="119" t="str">
        <f t="shared" si="1"/>
        <v/>
      </c>
      <c r="AC16" s="119" t="str">
        <f t="shared" si="1"/>
        <v/>
      </c>
      <c r="AD16" s="119" t="str">
        <f t="shared" si="1"/>
        <v/>
      </c>
      <c r="AE16" s="119" t="str">
        <f t="shared" si="1"/>
        <v/>
      </c>
    </row>
    <row r="17" spans="1:31" x14ac:dyDescent="0.25">
      <c r="A17" s="118" t="s">
        <v>204</v>
      </c>
      <c r="B17" s="120">
        <f>IF(B15="","",IF(B3+B16&gt;0, B3+B16, 0))</f>
        <v>331648.93503464962</v>
      </c>
      <c r="C17" s="120">
        <f>IF(C15="","",IF(B17+C16&gt;0, B17+C16,0))</f>
        <v>245701.9875665108</v>
      </c>
      <c r="D17" s="120">
        <f t="shared" ref="D17:AE17" si="2">IF(D15="","",IF(C17+D16&gt;0, C17+D16,0))</f>
        <v>159755.04009837197</v>
      </c>
      <c r="E17" s="120">
        <f t="shared" si="2"/>
        <v>73808.092630233135</v>
      </c>
      <c r="F17" s="120">
        <f t="shared" si="2"/>
        <v>0</v>
      </c>
      <c r="G17" s="120" t="str">
        <f t="shared" si="2"/>
        <v/>
      </c>
      <c r="H17" s="120" t="str">
        <f t="shared" si="2"/>
        <v/>
      </c>
      <c r="I17" s="120" t="str">
        <f t="shared" si="2"/>
        <v/>
      </c>
      <c r="J17" s="120" t="str">
        <f t="shared" si="2"/>
        <v/>
      </c>
      <c r="K17" s="120" t="str">
        <f t="shared" si="2"/>
        <v/>
      </c>
      <c r="L17" s="120" t="str">
        <f t="shared" si="2"/>
        <v/>
      </c>
      <c r="M17" s="120" t="str">
        <f t="shared" si="2"/>
        <v/>
      </c>
      <c r="N17" s="120" t="str">
        <f t="shared" si="2"/>
        <v/>
      </c>
      <c r="O17" s="120" t="str">
        <f t="shared" si="2"/>
        <v/>
      </c>
      <c r="P17" s="120" t="str">
        <f t="shared" si="2"/>
        <v/>
      </c>
      <c r="Q17" s="120" t="str">
        <f t="shared" si="2"/>
        <v/>
      </c>
      <c r="R17" s="120" t="str">
        <f t="shared" si="2"/>
        <v/>
      </c>
      <c r="S17" s="120" t="str">
        <f t="shared" si="2"/>
        <v/>
      </c>
      <c r="T17" s="120" t="str">
        <f t="shared" si="2"/>
        <v/>
      </c>
      <c r="U17" s="120" t="str">
        <f t="shared" si="2"/>
        <v/>
      </c>
      <c r="V17" s="120" t="str">
        <f t="shared" si="2"/>
        <v/>
      </c>
      <c r="W17" s="120" t="str">
        <f t="shared" si="2"/>
        <v/>
      </c>
      <c r="X17" s="120" t="str">
        <f t="shared" si="2"/>
        <v/>
      </c>
      <c r="Y17" s="120" t="str">
        <f t="shared" si="2"/>
        <v/>
      </c>
      <c r="Z17" s="120" t="str">
        <f t="shared" si="2"/>
        <v/>
      </c>
      <c r="AA17" s="120" t="str">
        <f t="shared" si="2"/>
        <v/>
      </c>
      <c r="AB17" s="120" t="str">
        <f t="shared" si="2"/>
        <v/>
      </c>
      <c r="AC17" s="120" t="str">
        <f t="shared" si="2"/>
        <v/>
      </c>
      <c r="AD17" s="120" t="str">
        <f t="shared" si="2"/>
        <v/>
      </c>
      <c r="AE17" s="120" t="str">
        <f t="shared" si="2"/>
        <v/>
      </c>
    </row>
    <row r="19" spans="1:31" x14ac:dyDescent="0.25">
      <c r="A19" s="118" t="s">
        <v>213</v>
      </c>
      <c r="B19" s="128">
        <f>-B16</f>
        <v>94351.064965350364</v>
      </c>
      <c r="C19" s="128"/>
    </row>
    <row r="20" spans="1:31" x14ac:dyDescent="0.25">
      <c r="B20" s="128"/>
    </row>
  </sheetData>
  <mergeCells count="1">
    <mergeCell ref="C1:E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T33"/>
  <sheetViews>
    <sheetView showGridLines="0" workbookViewId="0">
      <pane ySplit="1" topLeftCell="A2" activePane="bottomLeft" state="frozen"/>
      <selection pane="bottomLeft" activeCell="C12" sqref="C12"/>
    </sheetView>
  </sheetViews>
  <sheetFormatPr defaultColWidth="9.140625" defaultRowHeight="15" x14ac:dyDescent="0.25"/>
  <cols>
    <col min="1" max="1" width="14.7109375" style="6" customWidth="1"/>
    <col min="2" max="2" width="9.5703125" style="6" customWidth="1"/>
    <col min="3" max="3" width="44.140625" style="6" bestFit="1" customWidth="1"/>
    <col min="4" max="6" width="9" style="6" customWidth="1"/>
    <col min="7" max="8" width="12.28515625" style="6" customWidth="1"/>
    <col min="9" max="9" width="15.42578125" style="33" hidden="1" customWidth="1"/>
    <col min="10" max="10" width="14" style="6" hidden="1" customWidth="1"/>
    <col min="11" max="11" width="9.140625" style="6" hidden="1" customWidth="1"/>
    <col min="12" max="14" width="9" style="6" customWidth="1"/>
    <col min="15" max="15" width="9" style="27" customWidth="1"/>
    <col min="16" max="18" width="9" style="6" customWidth="1"/>
    <col min="19" max="16384" width="9.140625" style="6"/>
  </cols>
  <sheetData>
    <row r="1" spans="1:19" s="9" customFormat="1" ht="45.75" customHeight="1" x14ac:dyDescent="0.25">
      <c r="A1" s="144" t="str">
        <f>Instructions!A1</f>
        <v>Financing Wetland &amp; Water Quality Improvements Tool v. 1.1</v>
      </c>
      <c r="B1" s="144"/>
      <c r="C1" s="144"/>
      <c r="D1" s="144"/>
      <c r="E1" s="144"/>
      <c r="F1" s="144"/>
      <c r="G1" s="144"/>
      <c r="H1" s="144"/>
      <c r="I1" s="94"/>
      <c r="J1" s="94"/>
      <c r="K1" s="94"/>
      <c r="L1" s="94"/>
      <c r="M1" s="94"/>
      <c r="N1" s="94"/>
      <c r="P1" s="145"/>
      <c r="Q1" s="145"/>
      <c r="R1" s="145"/>
      <c r="S1" s="145"/>
    </row>
    <row r="2" spans="1:19" ht="15" customHeight="1" x14ac:dyDescent="0.25">
      <c r="A2" s="148" t="s">
        <v>186</v>
      </c>
      <c r="D2" s="97"/>
      <c r="I2" s="135">
        <v>6</v>
      </c>
      <c r="L2" s="155" t="str">
        <f>IF(COUNTIF(C8:C17,"*")&gt;$I$2,"ERROR.  You have entered more names of entities than the number selected.  Only entries in blue boxes will appear in the tool.","")</f>
        <v/>
      </c>
      <c r="M2" s="155"/>
      <c r="N2" s="155"/>
      <c r="O2" s="155"/>
    </row>
    <row r="3" spans="1:19" x14ac:dyDescent="0.25">
      <c r="A3" s="148"/>
      <c r="B3" s="44" t="s">
        <v>36</v>
      </c>
      <c r="L3" s="155"/>
      <c r="M3" s="155"/>
      <c r="N3" s="155"/>
      <c r="O3" s="155"/>
    </row>
    <row r="4" spans="1:19" x14ac:dyDescent="0.25">
      <c r="A4" s="148"/>
      <c r="B4" s="150" t="s">
        <v>59</v>
      </c>
      <c r="C4" s="150"/>
      <c r="D4" s="45"/>
      <c r="E4" s="45"/>
      <c r="F4" s="45"/>
      <c r="G4" s="45"/>
      <c r="L4" s="155"/>
      <c r="M4" s="155"/>
      <c r="N4" s="155"/>
      <c r="O4" s="155"/>
    </row>
    <row r="5" spans="1:19" x14ac:dyDescent="0.25">
      <c r="A5" s="152" t="s">
        <v>187</v>
      </c>
      <c r="L5" s="155"/>
      <c r="M5" s="155"/>
      <c r="N5" s="155"/>
      <c r="O5" s="155"/>
    </row>
    <row r="6" spans="1:19" x14ac:dyDescent="0.25">
      <c r="A6" s="152"/>
      <c r="B6" s="151" t="s">
        <v>37</v>
      </c>
      <c r="C6" s="151"/>
      <c r="D6" s="49"/>
      <c r="E6" s="49"/>
      <c r="F6" s="49"/>
      <c r="G6" s="49"/>
      <c r="H6" s="17"/>
    </row>
    <row r="7" spans="1:19" x14ac:dyDescent="0.25">
      <c r="A7" s="152"/>
      <c r="B7" s="17"/>
      <c r="C7" s="22" t="s">
        <v>34</v>
      </c>
      <c r="D7" s="153" t="s">
        <v>35</v>
      </c>
      <c r="E7" s="153"/>
      <c r="F7" s="153"/>
      <c r="G7" s="153"/>
      <c r="H7" s="153"/>
      <c r="I7" s="34" t="s">
        <v>61</v>
      </c>
      <c r="J7" s="34" t="s">
        <v>62</v>
      </c>
      <c r="K7" s="34" t="s">
        <v>63</v>
      </c>
    </row>
    <row r="8" spans="1:19" x14ac:dyDescent="0.25">
      <c r="C8" s="48" t="s">
        <v>235</v>
      </c>
      <c r="D8" s="149" t="s">
        <v>44</v>
      </c>
      <c r="E8" s="149"/>
      <c r="F8" s="149"/>
      <c r="G8" s="149"/>
      <c r="H8" s="149"/>
      <c r="I8" s="135" t="b">
        <f>IF($I$2&gt;=1,TRUE,FALSE)</f>
        <v>1</v>
      </c>
      <c r="J8" s="136" t="b">
        <f>IF(entity1="",FALSE,IF(D8="",FALSE,TRUE))</f>
        <v>1</v>
      </c>
      <c r="K8" s="136" t="b">
        <f>IF(I8=FALSE,FALSE,IF(I8=TRUE,IF(J8=TRUE,FALSE,TRUE),TRUE))</f>
        <v>0</v>
      </c>
      <c r="L8" s="156" t="s">
        <v>64</v>
      </c>
      <c r="M8" s="156"/>
      <c r="N8" s="156"/>
      <c r="O8" s="156"/>
      <c r="P8" s="156"/>
    </row>
    <row r="9" spans="1:19" x14ac:dyDescent="0.25">
      <c r="C9" s="48" t="s">
        <v>236</v>
      </c>
      <c r="D9" s="149" t="s">
        <v>43</v>
      </c>
      <c r="E9" s="149"/>
      <c r="F9" s="149"/>
      <c r="G9" s="149"/>
      <c r="H9" s="149"/>
      <c r="I9" s="135" t="b">
        <f>IF($I$2&gt;=2,TRUE,FALSE)</f>
        <v>1</v>
      </c>
      <c r="J9" s="136" t="b">
        <f>IF(entity2="",FALSE,IF(D9="",FALSE,TRUE))</f>
        <v>1</v>
      </c>
      <c r="K9" s="136" t="b">
        <f t="shared" ref="K9:K17" si="0">IF(I9=FALSE,FALSE,IF(I9=TRUE,IF(J9=TRUE,FALSE,TRUE),TRUE))</f>
        <v>0</v>
      </c>
      <c r="L9" s="156" t="s">
        <v>64</v>
      </c>
      <c r="M9" s="156"/>
      <c r="N9" s="156"/>
      <c r="O9" s="156"/>
      <c r="P9" s="156"/>
    </row>
    <row r="10" spans="1:19" x14ac:dyDescent="0.25">
      <c r="C10" s="48" t="s">
        <v>237</v>
      </c>
      <c r="D10" s="149" t="s">
        <v>43</v>
      </c>
      <c r="E10" s="149"/>
      <c r="F10" s="149"/>
      <c r="G10" s="149"/>
      <c r="H10" s="149"/>
      <c r="I10" s="135" t="b">
        <f>IF($I$2&gt;=3,TRUE,FALSE)</f>
        <v>1</v>
      </c>
      <c r="J10" s="136" t="b">
        <f>IF(entity3="",FALSE,IF(D10="",FALSE,TRUE))</f>
        <v>1</v>
      </c>
      <c r="K10" s="136" t="b">
        <f t="shared" si="0"/>
        <v>0</v>
      </c>
      <c r="L10" s="156" t="s">
        <v>64</v>
      </c>
      <c r="M10" s="156"/>
      <c r="N10" s="156"/>
      <c r="O10" s="156"/>
      <c r="P10" s="156"/>
    </row>
    <row r="11" spans="1:19" x14ac:dyDescent="0.25">
      <c r="C11" s="48" t="s">
        <v>238</v>
      </c>
      <c r="D11" s="149" t="s">
        <v>46</v>
      </c>
      <c r="E11" s="149"/>
      <c r="F11" s="149"/>
      <c r="G11" s="149"/>
      <c r="H11" s="149"/>
      <c r="I11" s="135" t="b">
        <f>IF($I$2&gt;=4,TRUE,FALSE)</f>
        <v>1</v>
      </c>
      <c r="J11" s="136" t="b">
        <f>IF(entity4="",FALSE,IF(D11="",FALSE,TRUE))</f>
        <v>1</v>
      </c>
      <c r="K11" s="136" t="b">
        <f t="shared" si="0"/>
        <v>0</v>
      </c>
      <c r="L11" s="156" t="s">
        <v>64</v>
      </c>
      <c r="M11" s="156"/>
      <c r="N11" s="156"/>
      <c r="O11" s="156"/>
      <c r="P11" s="156"/>
    </row>
    <row r="12" spans="1:19" x14ac:dyDescent="0.25">
      <c r="C12" s="48" t="s">
        <v>239</v>
      </c>
      <c r="D12" s="149" t="s">
        <v>45</v>
      </c>
      <c r="E12" s="149"/>
      <c r="F12" s="149"/>
      <c r="G12" s="149"/>
      <c r="H12" s="149"/>
      <c r="I12" s="135" t="b">
        <f>IF($I$2&gt;=5,TRUE,FALSE)</f>
        <v>1</v>
      </c>
      <c r="J12" s="136" t="b">
        <f>IF(entity5="",FALSE,IF(D12="",FALSE,TRUE))</f>
        <v>1</v>
      </c>
      <c r="K12" s="136" t="b">
        <f t="shared" si="0"/>
        <v>0</v>
      </c>
      <c r="L12" s="156" t="s">
        <v>64</v>
      </c>
      <c r="M12" s="156"/>
      <c r="N12" s="156"/>
      <c r="O12" s="156"/>
      <c r="P12" s="156"/>
    </row>
    <row r="13" spans="1:19" x14ac:dyDescent="0.25">
      <c r="C13" s="48" t="s">
        <v>240</v>
      </c>
      <c r="D13" s="149" t="s">
        <v>45</v>
      </c>
      <c r="E13" s="149"/>
      <c r="F13" s="149"/>
      <c r="G13" s="149"/>
      <c r="H13" s="149"/>
      <c r="I13" s="135" t="b">
        <f>IF($I$2&gt;=6,TRUE,FALSE)</f>
        <v>1</v>
      </c>
      <c r="J13" s="136" t="b">
        <f>IF(entity6="",FALSE,IF(D13="",FALSE,TRUE))</f>
        <v>1</v>
      </c>
      <c r="K13" s="136" t="b">
        <f t="shared" si="0"/>
        <v>0</v>
      </c>
      <c r="L13" s="156" t="s">
        <v>64</v>
      </c>
      <c r="M13" s="156"/>
      <c r="N13" s="156"/>
      <c r="O13" s="156"/>
      <c r="P13" s="156"/>
    </row>
    <row r="14" spans="1:19" x14ac:dyDescent="0.25">
      <c r="C14" s="48"/>
      <c r="D14" s="149"/>
      <c r="E14" s="149"/>
      <c r="F14" s="149"/>
      <c r="G14" s="149"/>
      <c r="H14" s="149"/>
      <c r="I14" s="135" t="b">
        <f>IF($I$2&gt;=7,TRUE,FALSE)</f>
        <v>0</v>
      </c>
      <c r="J14" s="136" t="b">
        <f>IF(entity7="",FALSE,IF(D14="",FALSE,TRUE))</f>
        <v>0</v>
      </c>
      <c r="K14" s="136" t="b">
        <f t="shared" si="0"/>
        <v>0</v>
      </c>
      <c r="L14" s="156" t="s">
        <v>64</v>
      </c>
      <c r="M14" s="156"/>
      <c r="N14" s="156"/>
      <c r="O14" s="156"/>
      <c r="P14" s="156"/>
    </row>
    <row r="15" spans="1:19" x14ac:dyDescent="0.25">
      <c r="C15" s="48"/>
      <c r="D15" s="149"/>
      <c r="E15" s="149"/>
      <c r="F15" s="149"/>
      <c r="G15" s="149"/>
      <c r="H15" s="149"/>
      <c r="I15" s="135" t="b">
        <f>IF($I$2&gt;=8,TRUE,FALSE)</f>
        <v>0</v>
      </c>
      <c r="J15" s="136" t="b">
        <f>IF(entity8="",FALSE,IF(D15="",FALSE,TRUE))</f>
        <v>0</v>
      </c>
      <c r="K15" s="136" t="b">
        <f t="shared" si="0"/>
        <v>0</v>
      </c>
      <c r="L15" s="156" t="s">
        <v>64</v>
      </c>
      <c r="M15" s="156"/>
      <c r="N15" s="156"/>
      <c r="O15" s="156"/>
      <c r="P15" s="156"/>
    </row>
    <row r="16" spans="1:19" x14ac:dyDescent="0.25">
      <c r="C16" s="48"/>
      <c r="D16" s="149"/>
      <c r="E16" s="149"/>
      <c r="F16" s="149"/>
      <c r="G16" s="149"/>
      <c r="H16" s="149"/>
      <c r="I16" s="135" t="b">
        <f>IF($I$2&gt;=9,TRUE,FALSE)</f>
        <v>0</v>
      </c>
      <c r="J16" s="136" t="b">
        <f>IF(entity9="",FALSE,IF(D16="",FALSE,TRUE))</f>
        <v>0</v>
      </c>
      <c r="K16" s="136" t="b">
        <f t="shared" si="0"/>
        <v>0</v>
      </c>
      <c r="L16" s="156" t="s">
        <v>64</v>
      </c>
      <c r="M16" s="156"/>
      <c r="N16" s="156"/>
      <c r="O16" s="156"/>
      <c r="P16" s="156"/>
    </row>
    <row r="17" spans="1:20" x14ac:dyDescent="0.25">
      <c r="C17" s="48"/>
      <c r="D17" s="149"/>
      <c r="E17" s="149"/>
      <c r="F17" s="149"/>
      <c r="G17" s="149"/>
      <c r="H17" s="149"/>
      <c r="I17" s="135" t="b">
        <f>IF($I$2&gt;=10,TRUE,FALSE)</f>
        <v>0</v>
      </c>
      <c r="J17" s="136" t="b">
        <f>IF(entity10="",FALSE,IF(D17="",FALSE,TRUE))</f>
        <v>0</v>
      </c>
      <c r="K17" s="136" t="b">
        <f t="shared" si="0"/>
        <v>0</v>
      </c>
      <c r="L17" s="156" t="s">
        <v>64</v>
      </c>
      <c r="M17" s="156"/>
      <c r="N17" s="156"/>
      <c r="O17" s="156"/>
      <c r="P17" s="156"/>
    </row>
    <row r="18" spans="1:20" ht="15" customHeight="1" x14ac:dyDescent="0.25">
      <c r="A18" s="154" t="s">
        <v>188</v>
      </c>
      <c r="C18" s="25"/>
      <c r="D18" s="25"/>
      <c r="E18" s="25"/>
      <c r="F18" s="25"/>
      <c r="G18" s="25"/>
    </row>
    <row r="19" spans="1:20" ht="62.25" customHeight="1" x14ac:dyDescent="0.25">
      <c r="A19" s="154"/>
      <c r="B19" s="157" t="s">
        <v>137</v>
      </c>
      <c r="C19" s="157"/>
      <c r="D19" s="52" t="str">
        <f>PROPER(PropertyTaxes!A1)</f>
        <v>Property Taxes</v>
      </c>
      <c r="E19" s="52" t="str">
        <f>PROPER(SalesTaxes!A1)</f>
        <v>Sales Taxes</v>
      </c>
      <c r="F19" s="52" t="str">
        <f>PROPER(DrinkingWater!A1)</f>
        <v>Water Revenue</v>
      </c>
      <c r="G19" s="52" t="str">
        <f>PROPER(Wastewater!A1)</f>
        <v>Wastewater Revenue</v>
      </c>
      <c r="H19" s="53" t="str">
        <f>PROPER(WaterQualityFees!A1)</f>
        <v>Stormwater &amp; Water Quality Fees</v>
      </c>
      <c r="I19" s="54"/>
      <c r="J19" s="53"/>
      <c r="K19" s="53"/>
      <c r="L19" s="53" t="str">
        <f>PROPER(PermitFees!A1)</f>
        <v>Permit Fees</v>
      </c>
      <c r="M19" s="53" t="str">
        <f>PROPER(Grants!A1)</f>
        <v>Grants</v>
      </c>
      <c r="N19" s="53" t="str">
        <f>PROPER(FloodZoneFees!A1)</f>
        <v>Flood Control Zone Fees</v>
      </c>
      <c r="O19" s="55" t="str">
        <f>PROPER(Other!A1)</f>
        <v>Other Funding Sources</v>
      </c>
      <c r="P19" s="51"/>
      <c r="Q19" s="51"/>
      <c r="R19" s="51"/>
      <c r="S19" s="51"/>
      <c r="T19" s="51"/>
    </row>
    <row r="20" spans="1:20" x14ac:dyDescent="0.25">
      <c r="C20" s="25" t="s">
        <v>43</v>
      </c>
      <c r="D20" s="58" t="s">
        <v>14</v>
      </c>
      <c r="E20" s="58" t="s">
        <v>14</v>
      </c>
      <c r="F20" s="58" t="s">
        <v>14</v>
      </c>
      <c r="G20" s="58" t="s">
        <v>14</v>
      </c>
      <c r="H20" s="58" t="s">
        <v>14</v>
      </c>
      <c r="I20" s="58"/>
      <c r="J20" s="58"/>
      <c r="K20" s="58"/>
      <c r="L20" s="58" t="s">
        <v>14</v>
      </c>
      <c r="M20" s="58" t="s">
        <v>14</v>
      </c>
      <c r="N20" s="58" t="s">
        <v>14</v>
      </c>
      <c r="O20" s="58" t="s">
        <v>14</v>
      </c>
      <c r="P20" s="15"/>
      <c r="Q20" s="15"/>
      <c r="R20" s="15"/>
      <c r="S20" s="15"/>
      <c r="T20" s="15"/>
    </row>
    <row r="21" spans="1:20" x14ac:dyDescent="0.25">
      <c r="C21" s="25" t="s">
        <v>44</v>
      </c>
      <c r="D21" s="58" t="s">
        <v>14</v>
      </c>
      <c r="E21" s="58" t="s">
        <v>14</v>
      </c>
      <c r="F21" s="58" t="s">
        <v>14</v>
      </c>
      <c r="G21" s="58" t="s">
        <v>14</v>
      </c>
      <c r="H21" s="58" t="s">
        <v>14</v>
      </c>
      <c r="I21" s="58"/>
      <c r="J21" s="58"/>
      <c r="K21" s="58"/>
      <c r="L21" s="58" t="s">
        <v>14</v>
      </c>
      <c r="M21" s="58" t="s">
        <v>14</v>
      </c>
      <c r="N21" s="58" t="s">
        <v>14</v>
      </c>
      <c r="O21" s="58" t="s">
        <v>14</v>
      </c>
      <c r="P21" s="15"/>
      <c r="Q21" s="15"/>
      <c r="R21" s="15"/>
      <c r="S21" s="15"/>
      <c r="T21" s="15"/>
    </row>
    <row r="22" spans="1:20" x14ac:dyDescent="0.25">
      <c r="C22" s="25" t="s">
        <v>42</v>
      </c>
      <c r="D22" s="58" t="s">
        <v>15</v>
      </c>
      <c r="E22" s="58" t="s">
        <v>15</v>
      </c>
      <c r="F22" s="58" t="s">
        <v>15</v>
      </c>
      <c r="G22" s="58" t="s">
        <v>15</v>
      </c>
      <c r="H22" s="58" t="s">
        <v>15</v>
      </c>
      <c r="I22" s="58"/>
      <c r="J22" s="58"/>
      <c r="K22" s="58"/>
      <c r="L22" s="58" t="s">
        <v>15</v>
      </c>
      <c r="M22" s="58" t="s">
        <v>14</v>
      </c>
      <c r="N22" s="58" t="s">
        <v>14</v>
      </c>
      <c r="O22" s="58" t="s">
        <v>14</v>
      </c>
      <c r="P22" s="15"/>
      <c r="Q22" s="15"/>
      <c r="R22" s="15"/>
      <c r="S22" s="15"/>
      <c r="T22" s="15"/>
    </row>
    <row r="23" spans="1:20" x14ac:dyDescent="0.25">
      <c r="C23" s="25" t="s">
        <v>41</v>
      </c>
      <c r="D23" s="58" t="s">
        <v>15</v>
      </c>
      <c r="E23" s="58" t="s">
        <v>14</v>
      </c>
      <c r="F23" s="58" t="s">
        <v>15</v>
      </c>
      <c r="G23" s="58" t="s">
        <v>15</v>
      </c>
      <c r="H23" s="58" t="s">
        <v>14</v>
      </c>
      <c r="I23" s="58"/>
      <c r="J23" s="58"/>
      <c r="K23" s="58"/>
      <c r="L23" s="58" t="s">
        <v>14</v>
      </c>
      <c r="M23" s="58" t="s">
        <v>14</v>
      </c>
      <c r="N23" s="58" t="s">
        <v>14</v>
      </c>
      <c r="O23" s="58" t="s">
        <v>14</v>
      </c>
      <c r="P23" s="15"/>
      <c r="Q23" s="15"/>
      <c r="R23" s="15"/>
      <c r="S23" s="15"/>
      <c r="T23" s="15"/>
    </row>
    <row r="24" spans="1:20" x14ac:dyDescent="0.25">
      <c r="C24" s="25" t="s">
        <v>176</v>
      </c>
      <c r="D24" s="58" t="s">
        <v>15</v>
      </c>
      <c r="E24" s="58" t="s">
        <v>15</v>
      </c>
      <c r="F24" s="58" t="s">
        <v>14</v>
      </c>
      <c r="G24" s="58" t="s">
        <v>14</v>
      </c>
      <c r="H24" s="58" t="s">
        <v>14</v>
      </c>
      <c r="I24" s="58"/>
      <c r="J24" s="58"/>
      <c r="K24" s="58"/>
      <c r="L24" s="58" t="s">
        <v>15</v>
      </c>
      <c r="M24" s="58" t="s">
        <v>14</v>
      </c>
      <c r="N24" s="58" t="s">
        <v>14</v>
      </c>
      <c r="O24" s="58" t="s">
        <v>14</v>
      </c>
      <c r="P24" s="15"/>
      <c r="Q24" s="15"/>
      <c r="R24" s="15"/>
      <c r="S24" s="15"/>
      <c r="T24" s="15"/>
    </row>
    <row r="25" spans="1:20" x14ac:dyDescent="0.25">
      <c r="C25" s="25" t="s">
        <v>46</v>
      </c>
      <c r="D25" s="58" t="s">
        <v>15</v>
      </c>
      <c r="E25" s="58" t="s">
        <v>15</v>
      </c>
      <c r="F25" s="58" t="s">
        <v>15</v>
      </c>
      <c r="G25" s="58" t="s">
        <v>15</v>
      </c>
      <c r="H25" s="58" t="s">
        <v>15</v>
      </c>
      <c r="I25" s="58"/>
      <c r="J25" s="58"/>
      <c r="K25" s="58"/>
      <c r="L25" s="58" t="s">
        <v>15</v>
      </c>
      <c r="M25" s="58" t="s">
        <v>14</v>
      </c>
      <c r="N25" s="58" t="s">
        <v>15</v>
      </c>
      <c r="O25" s="58" t="s">
        <v>14</v>
      </c>
      <c r="P25" s="15"/>
      <c r="Q25" s="15"/>
      <c r="R25" s="15"/>
      <c r="S25" s="15"/>
      <c r="T25" s="15"/>
    </row>
    <row r="26" spans="1:20" x14ac:dyDescent="0.25">
      <c r="C26" s="25" t="s">
        <v>45</v>
      </c>
      <c r="D26" s="58" t="s">
        <v>15</v>
      </c>
      <c r="E26" s="58" t="s">
        <v>15</v>
      </c>
      <c r="F26" s="58" t="s">
        <v>15</v>
      </c>
      <c r="G26" s="58" t="s">
        <v>15</v>
      </c>
      <c r="H26" s="58" t="s">
        <v>15</v>
      </c>
      <c r="I26" s="58"/>
      <c r="J26" s="58"/>
      <c r="K26" s="58"/>
      <c r="L26" s="58" t="s">
        <v>15</v>
      </c>
      <c r="M26" s="58" t="s">
        <v>14</v>
      </c>
      <c r="N26" s="58" t="s">
        <v>14</v>
      </c>
      <c r="O26" s="58" t="s">
        <v>14</v>
      </c>
      <c r="P26" s="137"/>
      <c r="Q26" s="137"/>
      <c r="R26" s="137"/>
      <c r="S26" s="137"/>
      <c r="T26" s="137"/>
    </row>
    <row r="27" spans="1:20" x14ac:dyDescent="0.25">
      <c r="C27" s="25" t="s">
        <v>243</v>
      </c>
      <c r="D27" s="58" t="s">
        <v>15</v>
      </c>
      <c r="E27" s="58" t="s">
        <v>15</v>
      </c>
      <c r="F27" s="58" t="s">
        <v>15</v>
      </c>
      <c r="G27" s="58" t="s">
        <v>15</v>
      </c>
      <c r="H27" s="58" t="s">
        <v>15</v>
      </c>
      <c r="I27" s="58"/>
      <c r="J27" s="58"/>
      <c r="K27" s="58"/>
      <c r="L27" s="58" t="s">
        <v>15</v>
      </c>
      <c r="M27" s="58" t="s">
        <v>14</v>
      </c>
      <c r="N27" s="58" t="s">
        <v>15</v>
      </c>
      <c r="O27" s="58" t="s">
        <v>14</v>
      </c>
      <c r="P27" s="15"/>
      <c r="Q27" s="15"/>
      <c r="R27" s="15"/>
      <c r="S27" s="15"/>
      <c r="T27" s="15"/>
    </row>
    <row r="30" spans="1:20" ht="11.25" customHeight="1" x14ac:dyDescent="0.25"/>
    <row r="31" spans="1:20" ht="11.25" customHeight="1" x14ac:dyDescent="0.25"/>
    <row r="32" spans="1:20" ht="11.25" customHeight="1" x14ac:dyDescent="0.25"/>
    <row r="33" ht="11.25" customHeight="1" x14ac:dyDescent="0.25"/>
  </sheetData>
  <sheetProtection password="9D10" sheet="1" objects="1" scenarios="1" selectLockedCells="1"/>
  <mergeCells count="30">
    <mergeCell ref="A18:A19"/>
    <mergeCell ref="L2:O5"/>
    <mergeCell ref="L14:P14"/>
    <mergeCell ref="B19:C19"/>
    <mergeCell ref="L8:P8"/>
    <mergeCell ref="L9:P9"/>
    <mergeCell ref="L10:P10"/>
    <mergeCell ref="L11:P11"/>
    <mergeCell ref="L12:P12"/>
    <mergeCell ref="L13:P13"/>
    <mergeCell ref="D17:H17"/>
    <mergeCell ref="L15:P15"/>
    <mergeCell ref="L16:P16"/>
    <mergeCell ref="L17:P17"/>
    <mergeCell ref="D14:H14"/>
    <mergeCell ref="D15:H15"/>
    <mergeCell ref="D16:H16"/>
    <mergeCell ref="D7:H7"/>
    <mergeCell ref="D8:H8"/>
    <mergeCell ref="D9:H9"/>
    <mergeCell ref="D10:H10"/>
    <mergeCell ref="D11:H11"/>
    <mergeCell ref="A1:H1"/>
    <mergeCell ref="A2:A4"/>
    <mergeCell ref="P1:S1"/>
    <mergeCell ref="D12:H12"/>
    <mergeCell ref="D13:H13"/>
    <mergeCell ref="B4:C4"/>
    <mergeCell ref="B6:C6"/>
    <mergeCell ref="A5:A7"/>
  </mergeCells>
  <conditionalFormatting sqref="C9">
    <cfRule type="expression" dxfId="1025" priority="38">
      <formula>$I$9</formula>
    </cfRule>
  </conditionalFormatting>
  <conditionalFormatting sqref="B6 H6 B7:D7">
    <cfRule type="expression" dxfId="1024" priority="37">
      <formula>$I$8</formula>
    </cfRule>
  </conditionalFormatting>
  <conditionalFormatting sqref="C8">
    <cfRule type="expression" dxfId="1023" priority="36">
      <formula>$I$8</formula>
    </cfRule>
  </conditionalFormatting>
  <conditionalFormatting sqref="C10">
    <cfRule type="expression" dxfId="1022" priority="35">
      <formula>$I$10</formula>
    </cfRule>
  </conditionalFormatting>
  <conditionalFormatting sqref="C11">
    <cfRule type="expression" dxfId="1021" priority="34">
      <formula>$I$11</formula>
    </cfRule>
  </conditionalFormatting>
  <conditionalFormatting sqref="C12">
    <cfRule type="expression" dxfId="1020" priority="33">
      <formula>$I$12</formula>
    </cfRule>
  </conditionalFormatting>
  <conditionalFormatting sqref="C13">
    <cfRule type="expression" dxfId="1019" priority="32">
      <formula>$I$13</formula>
    </cfRule>
  </conditionalFormatting>
  <conditionalFormatting sqref="C14">
    <cfRule type="expression" dxfId="1018" priority="31">
      <formula>$I$14</formula>
    </cfRule>
  </conditionalFormatting>
  <conditionalFormatting sqref="C15">
    <cfRule type="expression" dxfId="1017" priority="30">
      <formula>$I$15</formula>
    </cfRule>
  </conditionalFormatting>
  <conditionalFormatting sqref="C16">
    <cfRule type="expression" dxfId="1016" priority="29">
      <formula>$I$16</formula>
    </cfRule>
  </conditionalFormatting>
  <conditionalFormatting sqref="C17">
    <cfRule type="expression" dxfId="1015" priority="28">
      <formula>$I$17</formula>
    </cfRule>
  </conditionalFormatting>
  <conditionalFormatting sqref="C18:G18 C20:C27 D19:G19">
    <cfRule type="expression" dxfId="1014" priority="27">
      <formula>$I$18</formula>
    </cfRule>
  </conditionalFormatting>
  <conditionalFormatting sqref="L8">
    <cfRule type="expression" dxfId="1013" priority="26">
      <formula>K8</formula>
    </cfRule>
  </conditionalFormatting>
  <conditionalFormatting sqref="L9:L17">
    <cfRule type="expression" dxfId="1012" priority="25">
      <formula>K9</formula>
    </cfRule>
  </conditionalFormatting>
  <conditionalFormatting sqref="D8:H8">
    <cfRule type="expression" dxfId="1011" priority="14">
      <formula>I$8</formula>
    </cfRule>
  </conditionalFormatting>
  <conditionalFormatting sqref="D9:H9">
    <cfRule type="expression" dxfId="1010" priority="9">
      <formula>$I$9</formula>
    </cfRule>
  </conditionalFormatting>
  <conditionalFormatting sqref="D10:H10">
    <cfRule type="expression" dxfId="1009" priority="8">
      <formula>$I$10</formula>
    </cfRule>
  </conditionalFormatting>
  <conditionalFormatting sqref="D11:H11">
    <cfRule type="expression" dxfId="1008" priority="7">
      <formula>$I$11</formula>
    </cfRule>
  </conditionalFormatting>
  <conditionalFormatting sqref="D12:H12">
    <cfRule type="expression" dxfId="1007" priority="6">
      <formula>$I$12</formula>
    </cfRule>
  </conditionalFormatting>
  <conditionalFormatting sqref="D13:H13">
    <cfRule type="expression" dxfId="1006" priority="5">
      <formula>$I$13</formula>
    </cfRule>
  </conditionalFormatting>
  <conditionalFormatting sqref="D14:H14">
    <cfRule type="expression" dxfId="1005" priority="4">
      <formula>$I$14</formula>
    </cfRule>
  </conditionalFormatting>
  <conditionalFormatting sqref="D15:H15">
    <cfRule type="expression" dxfId="1004" priority="3">
      <formula>$I$15</formula>
    </cfRule>
  </conditionalFormatting>
  <conditionalFormatting sqref="D16:H16">
    <cfRule type="expression" dxfId="1003" priority="2">
      <formula>$I$16</formula>
    </cfRule>
  </conditionalFormatting>
  <conditionalFormatting sqref="D17:H17">
    <cfRule type="expression" dxfId="1002" priority="1">
      <formula>$I$17</formula>
    </cfRule>
  </conditionalFormatting>
  <dataValidations count="2">
    <dataValidation type="list" allowBlank="1" showInputMessage="1" showErrorMessage="1" error="Please hit CANCEL and select &quot;Yes&quot; or &quot;No&quot; from the dropdown" sqref="D20:O27">
      <formula1>FedFundsAsMatch</formula1>
    </dataValidation>
    <dataValidation allowBlank="1" showInputMessage="1" showErrorMessage="1" error="Please hit CANCEL and select &quot;Yes&quot; or &quot;No&quot; from the dropdown" sqref="P20:T27"/>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2</xdr:col>
                    <xdr:colOff>2466975</xdr:colOff>
                    <xdr:row>2</xdr:row>
                    <xdr:rowOff>0</xdr:rowOff>
                  </from>
                  <to>
                    <xdr:col>3</xdr:col>
                    <xdr:colOff>133350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Please hit CANCEL and then select a choice from the list">
          <x14:formula1>
            <xm:f>Admin!$A$27:$A$34</xm:f>
          </x14:formula1>
          <xm:sqref>D9:D17</xm:sqref>
        </x14:dataValidation>
        <x14:dataValidation type="list" allowBlank="1" showInputMessage="1" showErrorMessage="1" error="Please hit CANCEL and then select a choice from the list">
          <x14:formula1>
            <xm:f>Admin!$A$27:$A$34</xm:f>
          </x14:formula1>
          <xm:sqref>D8:H8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K48"/>
  <sheetViews>
    <sheetView showGridLines="0" zoomScaleNormal="100" workbookViewId="0">
      <pane ySplit="1" topLeftCell="A44" activePane="bottomLeft" state="frozen"/>
      <selection pane="bottomLeft" activeCell="A45" sqref="A45"/>
    </sheetView>
  </sheetViews>
  <sheetFormatPr defaultRowHeight="15" x14ac:dyDescent="0.25"/>
  <cols>
    <col min="1" max="1" width="18.7109375" style="6" customWidth="1"/>
    <col min="2" max="2" width="34.28515625" style="6" bestFit="1" customWidth="1"/>
    <col min="3" max="3" width="18.7109375" style="6" customWidth="1"/>
    <col min="4" max="4" width="6.5703125" style="6" hidden="1" customWidth="1"/>
    <col min="5" max="5" width="15.42578125" style="6" customWidth="1"/>
    <col min="6" max="6" width="9.140625" style="33"/>
    <col min="7" max="7" width="18.28515625" style="6" customWidth="1"/>
    <col min="8" max="8" width="9.140625" style="6" customWidth="1"/>
    <col min="9" max="9" width="18.42578125" style="6" customWidth="1"/>
    <col min="10" max="10" width="9.140625" style="6" customWidth="1"/>
    <col min="11" max="36" width="9.140625" style="6"/>
  </cols>
  <sheetData>
    <row r="1" spans="1:37" s="9" customFormat="1" ht="45.75" customHeight="1" x14ac:dyDescent="0.25">
      <c r="A1" s="144" t="str">
        <f>Instructions!A1</f>
        <v>Financing Wetland &amp; Water Quality Improvements Tool v. 1.1</v>
      </c>
      <c r="B1" s="144"/>
      <c r="C1" s="144"/>
      <c r="D1" s="144"/>
      <c r="E1" s="144"/>
      <c r="F1" s="144"/>
      <c r="G1" s="144"/>
      <c r="H1" s="144"/>
      <c r="I1" s="104"/>
      <c r="J1" s="104"/>
      <c r="K1" s="104"/>
      <c r="L1" s="104"/>
      <c r="M1" s="104"/>
      <c r="N1" s="104"/>
      <c r="P1" s="145"/>
      <c r="Q1" s="145"/>
      <c r="R1" s="145"/>
      <c r="S1" s="145"/>
    </row>
    <row r="2" spans="1:37" s="6" customFormat="1" x14ac:dyDescent="0.25">
      <c r="A2" s="148" t="s">
        <v>189</v>
      </c>
      <c r="B2" s="15"/>
      <c r="C2" s="101"/>
      <c r="D2" s="15"/>
      <c r="E2" s="15"/>
      <c r="F2" s="108"/>
      <c r="G2" s="15"/>
      <c r="H2" s="85">
        <v>0</v>
      </c>
      <c r="J2" s="85">
        <v>1</v>
      </c>
      <c r="K2" s="17"/>
      <c r="L2" s="17" t="b">
        <f>IF(J2=1,FALSE,TRUE)</f>
        <v>0</v>
      </c>
    </row>
    <row r="3" spans="1:37" s="6" customFormat="1" x14ac:dyDescent="0.25">
      <c r="A3" s="148"/>
      <c r="B3" s="16" t="s">
        <v>29</v>
      </c>
      <c r="C3" s="15"/>
      <c r="D3" s="15"/>
      <c r="E3" s="15"/>
      <c r="F3" s="108"/>
      <c r="G3" s="15"/>
    </row>
    <row r="4" spans="1:37" ht="19.5" customHeight="1" x14ac:dyDescent="0.25">
      <c r="A4" s="148"/>
      <c r="AK4" s="6"/>
    </row>
    <row r="5" spans="1:37" ht="16.5" customHeight="1" x14ac:dyDescent="0.25">
      <c r="A5" s="152" t="s">
        <v>190</v>
      </c>
      <c r="AK5" s="6"/>
    </row>
    <row r="6" spans="1:37" ht="15.75" customHeight="1" x14ac:dyDescent="0.25">
      <c r="A6" s="152"/>
      <c r="B6" s="10" t="str">
        <f>IF(J2=1,"How Much Do I Need?","")</f>
        <v>How Much Do I Need?</v>
      </c>
      <c r="C6" s="80">
        <v>426000</v>
      </c>
      <c r="D6" s="18"/>
      <c r="E6" s="33"/>
      <c r="AK6" s="6"/>
    </row>
    <row r="7" spans="1:37" ht="15" customHeight="1" x14ac:dyDescent="0.25">
      <c r="A7" s="152"/>
      <c r="B7" s="106" t="s">
        <v>198</v>
      </c>
      <c r="C7" s="112">
        <f>HowMuchDoINeed-C8</f>
        <v>0</v>
      </c>
      <c r="D7" s="18"/>
      <c r="E7" s="17"/>
      <c r="AK7" s="6"/>
    </row>
    <row r="8" spans="1:37" x14ac:dyDescent="0.25">
      <c r="B8" s="106" t="s">
        <v>199</v>
      </c>
      <c r="C8" s="80">
        <v>426000</v>
      </c>
      <c r="D8" s="18"/>
      <c r="E8" s="17" t="b">
        <f>IF(J2&lt;&gt;1,FALSE,IF(C8&gt;0,TRUE,FALSE))</f>
        <v>1</v>
      </c>
      <c r="AK8" s="6"/>
    </row>
    <row r="9" spans="1:37" x14ac:dyDescent="0.25">
      <c r="B9" s="117" t="s">
        <v>212</v>
      </c>
      <c r="C9" s="70">
        <v>3.5000000000000003E-2</v>
      </c>
      <c r="D9" s="18"/>
      <c r="E9" s="17"/>
      <c r="AK9" s="6"/>
    </row>
    <row r="10" spans="1:37" x14ac:dyDescent="0.25">
      <c r="B10" s="117" t="s">
        <v>197</v>
      </c>
      <c r="C10" s="79">
        <v>5</v>
      </c>
      <c r="D10" s="18"/>
      <c r="E10" s="17"/>
      <c r="AK10" s="6"/>
    </row>
    <row r="11" spans="1:37" ht="15.75" thickBot="1" x14ac:dyDescent="0.3">
      <c r="C11" s="91"/>
      <c r="E11" s="17"/>
      <c r="AK11" s="6"/>
    </row>
    <row r="12" spans="1:37" ht="15.75" thickBot="1" x14ac:dyDescent="0.3">
      <c r="B12" s="111" t="s">
        <v>200</v>
      </c>
      <c r="C12" s="114">
        <f>C7+OwnedOnDebtInFirstYear</f>
        <v>94351.064965350364</v>
      </c>
      <c r="E12" s="17">
        <f>IF(J2=1,C12,0)</f>
        <v>94351.064965350364</v>
      </c>
      <c r="AK12" s="6"/>
    </row>
    <row r="13" spans="1:37" x14ac:dyDescent="0.25">
      <c r="B13" s="26" t="s">
        <v>201</v>
      </c>
      <c r="C13" s="59"/>
      <c r="AK13" s="6"/>
    </row>
    <row r="14" spans="1:37" ht="15.75" thickBot="1" x14ac:dyDescent="0.3">
      <c r="C14" s="59"/>
      <c r="D14" s="18"/>
      <c r="E14" s="6" t="s">
        <v>1</v>
      </c>
      <c r="AK14" s="6"/>
    </row>
    <row r="15" spans="1:37" ht="15.75" thickBot="1" x14ac:dyDescent="0.3">
      <c r="B15" s="10" t="s">
        <v>0</v>
      </c>
      <c r="C15" s="60">
        <f>SUM(C18:C26)</f>
        <v>9500</v>
      </c>
      <c r="D15" s="15"/>
      <c r="E15" s="2">
        <f>IF(PercentToGoalDenometer=0,0,C15/PercentToGoalDenometer)</f>
        <v>0.10068778771589695</v>
      </c>
      <c r="AK15" s="6"/>
    </row>
    <row r="16" spans="1:37" x14ac:dyDescent="0.25">
      <c r="A16" s="152" t="s">
        <v>191</v>
      </c>
      <c r="C16" s="59"/>
      <c r="D16" s="19"/>
      <c r="AK16" s="6"/>
    </row>
    <row r="17" spans="1:37" x14ac:dyDescent="0.25">
      <c r="A17" s="152"/>
      <c r="B17" s="11" t="s">
        <v>18</v>
      </c>
      <c r="C17" s="61" t="s">
        <v>2</v>
      </c>
      <c r="D17" s="18"/>
      <c r="E17" s="11" t="s">
        <v>3</v>
      </c>
      <c r="AK17" s="6"/>
    </row>
    <row r="18" spans="1:37" x14ac:dyDescent="0.25">
      <c r="A18" s="152"/>
      <c r="B18" s="138" t="str">
        <f>PROPER(PropertyTaxes!A1)</f>
        <v>Property Taxes</v>
      </c>
      <c r="C18" s="62">
        <f>PropertyTaxesTotal</f>
        <v>9500</v>
      </c>
      <c r="D18" s="18"/>
      <c r="E18" s="5">
        <f t="shared" ref="E18:E26" si="0">IF(PercentToGoalDenometer=0,0,C18/PercentToGoalDenometer)</f>
        <v>0.10068778771589695</v>
      </c>
      <c r="AK18" s="6"/>
    </row>
    <row r="19" spans="1:37" x14ac:dyDescent="0.25">
      <c r="B19" s="138" t="str">
        <f>PROPER(SalesTaxes!A1)</f>
        <v>Sales Taxes</v>
      </c>
      <c r="C19" s="62">
        <f>SalesTaxesTotal</f>
        <v>0</v>
      </c>
      <c r="D19" s="18"/>
      <c r="E19" s="5">
        <f t="shared" si="0"/>
        <v>0</v>
      </c>
      <c r="AK19" s="6"/>
    </row>
    <row r="20" spans="1:37" x14ac:dyDescent="0.25">
      <c r="B20" s="138" t="str">
        <f>PROPER(DrinkingWater!A1)</f>
        <v>Water Revenue</v>
      </c>
      <c r="C20" s="62">
        <f>DrinkingWaterTotal</f>
        <v>0</v>
      </c>
      <c r="D20" s="18"/>
      <c r="E20" s="5">
        <f t="shared" si="0"/>
        <v>0</v>
      </c>
      <c r="AK20" s="6"/>
    </row>
    <row r="21" spans="1:37" x14ac:dyDescent="0.25">
      <c r="B21" s="138" t="str">
        <f>PROPER(Wastewater!A1)</f>
        <v>Wastewater Revenue</v>
      </c>
      <c r="C21" s="62">
        <f>WastewaterTotal</f>
        <v>0</v>
      </c>
      <c r="D21" s="18"/>
      <c r="E21" s="5">
        <f t="shared" si="0"/>
        <v>0</v>
      </c>
      <c r="AK21" s="6"/>
    </row>
    <row r="22" spans="1:37" x14ac:dyDescent="0.25">
      <c r="B22" s="138" t="str">
        <f>PROPER(WaterQualityFees!A1)</f>
        <v>Stormwater &amp; Water Quality Fees</v>
      </c>
      <c r="C22" s="62">
        <f>WaterQualityFeesTotal</f>
        <v>0</v>
      </c>
      <c r="D22" s="18"/>
      <c r="E22" s="5">
        <f t="shared" si="0"/>
        <v>0</v>
      </c>
      <c r="AK22" s="6"/>
    </row>
    <row r="23" spans="1:37" x14ac:dyDescent="0.25">
      <c r="B23" s="138" t="str">
        <f>PROPER(FloodZoneFees!A1)</f>
        <v>Flood Control Zone Fees</v>
      </c>
      <c r="C23" s="62">
        <f>FloodFeeTotal</f>
        <v>0</v>
      </c>
      <c r="D23" s="18"/>
      <c r="E23" s="5">
        <f t="shared" si="0"/>
        <v>0</v>
      </c>
      <c r="AK23" s="6"/>
    </row>
    <row r="24" spans="1:37" x14ac:dyDescent="0.25">
      <c r="B24" s="138" t="str">
        <f>PROPER(PermitFees!A1)</f>
        <v>Permit Fees</v>
      </c>
      <c r="C24" s="62">
        <f>PermitFeesTotal</f>
        <v>0</v>
      </c>
      <c r="D24" s="18"/>
      <c r="E24" s="5">
        <f t="shared" si="0"/>
        <v>0</v>
      </c>
    </row>
    <row r="25" spans="1:37" x14ac:dyDescent="0.25">
      <c r="B25" s="138" t="str">
        <f>PROPER(Grants!A1)</f>
        <v>Grants</v>
      </c>
      <c r="C25" s="62">
        <f>GrantsTotal</f>
        <v>0</v>
      </c>
      <c r="D25" s="8"/>
      <c r="E25" s="5">
        <f t="shared" si="0"/>
        <v>0</v>
      </c>
    </row>
    <row r="26" spans="1:37" ht="15.75" thickBot="1" x14ac:dyDescent="0.3">
      <c r="B26" s="138" t="str">
        <f>PROPER(Other!A1)</f>
        <v>Other Funding Sources</v>
      </c>
      <c r="C26" s="62">
        <f>OtherTotal</f>
        <v>0</v>
      </c>
      <c r="D26" s="7"/>
      <c r="E26" s="5">
        <f t="shared" si="0"/>
        <v>0</v>
      </c>
    </row>
    <row r="27" spans="1:37" ht="15.75" hidden="1" thickBot="1" x14ac:dyDescent="0.3">
      <c r="B27" s="7"/>
      <c r="C27" s="115"/>
      <c r="D27" s="7"/>
      <c r="E27" s="116"/>
    </row>
    <row r="28" spans="1:37" ht="15.75" thickBot="1" x14ac:dyDescent="0.3">
      <c r="A28" s="28"/>
      <c r="B28" s="20" t="s">
        <v>4</v>
      </c>
      <c r="C28" s="60">
        <f>IF(C6-SUM(C18:C26)&lt;0,"",C12-SUM(C18:C26))</f>
        <v>84851.064965350364</v>
      </c>
      <c r="E28" s="2">
        <f>IF(PercentToGoalDenometer=0,0,C28/PercentToGoalDenometer)</f>
        <v>0.89931221228410307</v>
      </c>
      <c r="G28" s="28"/>
      <c r="H28" s="28"/>
      <c r="I28" s="28"/>
      <c r="J28" s="28"/>
      <c r="K28" s="28"/>
      <c r="L28" s="28"/>
      <c r="M28" s="28"/>
      <c r="N28" s="28"/>
      <c r="O28" s="28"/>
      <c r="P28" s="28"/>
    </row>
    <row r="29" spans="1:37" x14ac:dyDescent="0.25">
      <c r="D29" s="11"/>
    </row>
    <row r="30" spans="1:37" x14ac:dyDescent="0.25">
      <c r="C30" s="11" t="s">
        <v>165</v>
      </c>
      <c r="D30" s="65"/>
      <c r="E30" s="11" t="s">
        <v>166</v>
      </c>
    </row>
    <row r="31" spans="1:37" ht="15.75" x14ac:dyDescent="0.25">
      <c r="B31" s="57" t="s">
        <v>167</v>
      </c>
      <c r="C31" s="62">
        <f>GrantMatchNeeded</f>
        <v>0</v>
      </c>
      <c r="D31" s="28"/>
      <c r="E31" s="62">
        <f>SUM(C18:C24)+C26+GrantsAvailableForMatch</f>
        <v>9500</v>
      </c>
      <c r="F31" s="113" t="str">
        <f>IF(C31&gt;0,IF(E31&gt;=C31,"ü","û"),"")</f>
        <v/>
      </c>
    </row>
    <row r="32" spans="1:37" hidden="1" x14ac:dyDescent="0.25">
      <c r="B32" s="28"/>
      <c r="C32" s="28" t="s">
        <v>169</v>
      </c>
      <c r="D32" s="28"/>
      <c r="E32" s="28" t="b">
        <f>IF(E31&gt;=C31,TRUE,FALSE)</f>
        <v>1</v>
      </c>
      <c r="F32" s="28"/>
    </row>
    <row r="33" spans="2:6" hidden="1" x14ac:dyDescent="0.25">
      <c r="B33" s="28"/>
      <c r="C33" s="28" t="s">
        <v>170</v>
      </c>
      <c r="D33" s="28"/>
      <c r="E33" s="28" t="b">
        <f>IF(E31&lt;C31,TRUE,FALSE)</f>
        <v>0</v>
      </c>
      <c r="F33" s="28"/>
    </row>
    <row r="34" spans="2:6" hidden="1" x14ac:dyDescent="0.25">
      <c r="C34" s="28" t="s">
        <v>182</v>
      </c>
      <c r="E34" s="28" t="b">
        <f>IF(C31&gt;0,FALSE,TRUE)</f>
        <v>1</v>
      </c>
    </row>
    <row r="37" spans="2:6" x14ac:dyDescent="0.25">
      <c r="B37" s="95" t="s">
        <v>183</v>
      </c>
      <c r="D37" s="98"/>
    </row>
    <row r="38" spans="2:6" ht="30" x14ac:dyDescent="0.25">
      <c r="B38" s="17" t="s">
        <v>195</v>
      </c>
      <c r="C38" s="98" t="s">
        <v>184</v>
      </c>
      <c r="D38" s="30"/>
      <c r="E38" s="102" t="s">
        <v>194</v>
      </c>
      <c r="F38" s="17" t="s">
        <v>185</v>
      </c>
    </row>
    <row r="39" spans="2:6" x14ac:dyDescent="0.25">
      <c r="B39" s="30" t="str">
        <f>IF(TotalEntities&gt;=1,entity1,"")</f>
        <v>Oxbow County</v>
      </c>
      <c r="C39" s="56">
        <f>IF(F39=TRUE,PropertyTaxes!C2+SalesTaxes!C2+DrinkingWater!C2+Wastewater!C2+WaterQualityFees!C2+FloodZoneFees!C2+PermitFees!C2+Other!C2+Grants!B29,"")</f>
        <v>3000</v>
      </c>
      <c r="D39" s="30"/>
      <c r="E39" s="103">
        <f>IF(F39=TRUE,C39/SUM($C$39:$C$48),"")</f>
        <v>0.31578947368421051</v>
      </c>
      <c r="F39" s="17" t="b">
        <f>IF(TotalEntities&gt;=1,TRUE,FALSE)</f>
        <v>1</v>
      </c>
    </row>
    <row r="40" spans="2:6" x14ac:dyDescent="0.25">
      <c r="B40" s="30" t="str">
        <f>IF(TotalEntities&gt;=2,entity2,"")</f>
        <v>City of Pool</v>
      </c>
      <c r="C40" s="56">
        <f>IF(F40=TRUE,PropertyTaxes!D2+SalesTaxes!D2+DrinkingWater!D2+Wastewater!D2+WaterQualityFees!D2+FloodZoneFees!D2+PermitFees!D2+Grants!B30+Other!D2,"")</f>
        <v>2500</v>
      </c>
      <c r="D40" s="30"/>
      <c r="E40" s="103">
        <f t="shared" ref="E40:E48" si="1">IF(F40=TRUE,C40/SUM($C$39:$C$48))</f>
        <v>0.26315789473684209</v>
      </c>
      <c r="F40" s="17" t="b">
        <f>IF(TotalEntities&gt;=2,TRUE,FALSE)</f>
        <v>1</v>
      </c>
    </row>
    <row r="41" spans="2:6" x14ac:dyDescent="0.25">
      <c r="B41" s="30" t="str">
        <f>IF(TotalEntities&gt;=3,entity3,"")</f>
        <v>City of Riffle</v>
      </c>
      <c r="C41" s="56">
        <f>IF(F41=TRUE,PropertyTaxes!E2+SalesTaxes!E2+DrinkingWater!E2+Wastewater!E2+WaterQualityFees!E2+FloodZoneFees!E2+PermitFees!E2+Grants!B31+Other!E2,"")</f>
        <v>4000</v>
      </c>
      <c r="D41" s="30"/>
      <c r="E41" s="103">
        <f t="shared" si="1"/>
        <v>0.42105263157894735</v>
      </c>
      <c r="F41" s="17" t="b">
        <f>IF(TotalEntities&gt;=3,TRUE,FALSE)</f>
        <v>1</v>
      </c>
    </row>
    <row r="42" spans="2:6" x14ac:dyDescent="0.25">
      <c r="B42" s="30" t="str">
        <f>IF(TotalEntities&gt;=4,entity4,"")</f>
        <v>Wishful Watershed Council</v>
      </c>
      <c r="C42" s="56">
        <f>IF(F42=TRUE,PropertyTaxes!F2+SalesTaxes!F2+DrinkingWater!F2+Wastewater!F2+WaterQualityFees!F2+FloodZoneFees!F2+PermitFees!F2+Grants!B32+Other!F2,"")</f>
        <v>0</v>
      </c>
      <c r="D42" s="30"/>
      <c r="E42" s="103">
        <f t="shared" si="1"/>
        <v>0</v>
      </c>
      <c r="F42" s="17" t="b">
        <f>IF(TotalEntities&gt;=4,TRUE,FALSE)</f>
        <v>1</v>
      </c>
    </row>
    <row r="43" spans="2:6" x14ac:dyDescent="0.25">
      <c r="B43" s="30" t="str">
        <f>IF(TotalEntities&gt;=5,entity5,"")</f>
        <v>Council of Government</v>
      </c>
      <c r="C43" s="56">
        <f>IF(F43=TRUE,PropertyTaxes!G2+SalesTaxes!G2+DrinkingWater!G2+Wastewater!G2+WaterQualityFees!G2+FloodZoneFees!G2+PermitFees!G2+Grants!B33+Other!G2,"")</f>
        <v>0</v>
      </c>
      <c r="D43" s="30"/>
      <c r="E43" s="103">
        <f t="shared" si="1"/>
        <v>0</v>
      </c>
      <c r="F43" s="17" t="b">
        <f>IF(TotalEntities&gt;=5,TRUE,FALSE)</f>
        <v>1</v>
      </c>
    </row>
    <row r="44" spans="2:6" x14ac:dyDescent="0.25">
      <c r="B44" s="30" t="str">
        <f>IF(TotalEntities&gt;=6,entity6,"")</f>
        <v>Soil &amp; Water Conservation</v>
      </c>
      <c r="C44" s="56">
        <f>IF(F44=TRUE,PropertyTaxes!H2+SalesTaxes!H2+DrinkingWater!H2+Wastewater!H2+WaterQualityFees!H2+FloodZoneFees!H2+PermitFees!H2+Grants!B34+Other!H2,"")</f>
        <v>0</v>
      </c>
      <c r="D44" s="30"/>
      <c r="E44" s="103">
        <f t="shared" si="1"/>
        <v>0</v>
      </c>
      <c r="F44" s="17" t="b">
        <f>IF(TotalEntities&gt;=6,TRUE,FALSE)</f>
        <v>1</v>
      </c>
    </row>
    <row r="45" spans="2:6" x14ac:dyDescent="0.25">
      <c r="B45" s="30" t="str">
        <f>IF(TotalEntities&gt;=7,entity7,"")</f>
        <v/>
      </c>
      <c r="C45" s="56" t="str">
        <f>IF(F45=TRUE,PropertyTaxes!I2+SalesTaxes!I2+DrinkingWater!I2+Wastewater!I2+WaterQualityFees!I2+FloodZoneFees!I2+PermitFees!I2+Grants!B35+Other!I2,"")</f>
        <v/>
      </c>
      <c r="D45" s="30"/>
      <c r="E45" s="103" t="b">
        <f t="shared" si="1"/>
        <v>0</v>
      </c>
      <c r="F45" s="17" t="b">
        <f>IF(TotalEntities&gt;=7,TRUE,FALSE)</f>
        <v>0</v>
      </c>
    </row>
    <row r="46" spans="2:6" x14ac:dyDescent="0.25">
      <c r="B46" s="30" t="str">
        <f>IF(TotalEntities&gt;=8,entity8,"")</f>
        <v/>
      </c>
      <c r="C46" s="56" t="str">
        <f>IF(F46=TRUE,PropertyTaxes!J2+SalesTaxes!J2+DrinkingWater!J2+Wastewater!J2+WaterQualityFees!J2+FloodZoneFees!J2+PermitFees!J2+Grants!B36+Other!J2,"")</f>
        <v/>
      </c>
      <c r="D46" s="30"/>
      <c r="E46" s="103" t="b">
        <f t="shared" si="1"/>
        <v>0</v>
      </c>
      <c r="F46" s="17" t="b">
        <f>IF(TotalEntities&gt;=8,TRUE,FALSE)</f>
        <v>0</v>
      </c>
    </row>
    <row r="47" spans="2:6" x14ac:dyDescent="0.25">
      <c r="B47" s="30" t="str">
        <f>IF(TotalEntities&gt;=9,entity9,"")</f>
        <v/>
      </c>
      <c r="C47" s="56" t="str">
        <f>IF(F47=TRUE,PropertyTaxes!K2+SalesTaxes!K2+DrinkingWater!K2+Wastewater!K2+WaterQualityFees!K2+FloodZoneFees!K2+PermitFees!K2+Grants!B37+Other!K2,"")</f>
        <v/>
      </c>
      <c r="D47" s="30"/>
      <c r="E47" s="103" t="b">
        <f t="shared" si="1"/>
        <v>0</v>
      </c>
      <c r="F47" s="17" t="b">
        <f>IF(TotalEntities&gt;=9,TRUE,FALSE)</f>
        <v>0</v>
      </c>
    </row>
    <row r="48" spans="2:6" x14ac:dyDescent="0.25">
      <c r="B48" s="30" t="str">
        <f>IF(TotalEntities&gt;=10,entity10,"")</f>
        <v/>
      </c>
      <c r="C48" s="56" t="str">
        <f>IF(F48=TRUE,PropertyTaxes!L2+SalesTaxes!L2+DrinkingWater!L2+Wastewater!L2+WaterQualityFees!L2+FloodZoneFees!L2+PermitFees!L2+Grants!B38+Other!L2,"")</f>
        <v/>
      </c>
      <c r="E48" s="103" t="b">
        <f t="shared" si="1"/>
        <v>0</v>
      </c>
      <c r="F48" s="17" t="b">
        <f>IF(TotalEntities&gt;=10,TRUE,FALSE)</f>
        <v>0</v>
      </c>
    </row>
  </sheetData>
  <sheetProtection password="9D10" sheet="1" objects="1" scenarios="1"/>
  <mergeCells count="5">
    <mergeCell ref="A2:A4"/>
    <mergeCell ref="A5:A7"/>
    <mergeCell ref="A16:A18"/>
    <mergeCell ref="A1:H1"/>
    <mergeCell ref="P1:S1"/>
  </mergeCells>
  <conditionalFormatting sqref="B28:C28 C11:C12 B6:D10 E14:E28 B12 B13">
    <cfRule type="expression" dxfId="1001" priority="1">
      <formula>$L$2</formula>
    </cfRule>
  </conditionalFormatting>
  <conditionalFormatting sqref="F31">
    <cfRule type="expression" dxfId="1000" priority="16">
      <formula>$E$33</formula>
    </cfRule>
    <cfRule type="expression" dxfId="999" priority="17">
      <formula>$E$32</formula>
    </cfRule>
  </conditionalFormatting>
  <conditionalFormatting sqref="E30 B31 C30">
    <cfRule type="expression" dxfId="998" priority="15">
      <formula>$E$34</formula>
    </cfRule>
  </conditionalFormatting>
  <conditionalFormatting sqref="C31 D30 E31">
    <cfRule type="expression" dxfId="997" priority="14">
      <formula>$E$34</formula>
    </cfRule>
  </conditionalFormatting>
  <conditionalFormatting sqref="B38:C38 D37 E38">
    <cfRule type="expression" dxfId="996" priority="13">
      <formula>$F$39</formula>
    </cfRule>
  </conditionalFormatting>
  <conditionalFormatting sqref="B39:B48">
    <cfRule type="expression" dxfId="995" priority="12">
      <formula>$F39</formula>
    </cfRule>
  </conditionalFormatting>
  <conditionalFormatting sqref="D38:D47">
    <cfRule type="expression" dxfId="994" priority="309">
      <formula>$F39</formula>
    </cfRule>
  </conditionalFormatting>
  <conditionalFormatting sqref="C39:C48 E39:E48">
    <cfRule type="expression" dxfId="993" priority="322">
      <formula>$F39</formula>
    </cfRule>
  </conditionalFormatting>
  <conditionalFormatting sqref="B9:B10">
    <cfRule type="expression" dxfId="992" priority="2">
      <formula>$E$8</formula>
    </cfRule>
  </conditionalFormatting>
  <conditionalFormatting sqref="C9:C10">
    <cfRule type="expression" dxfId="991" priority="22">
      <formula>$E$8</formula>
    </cfRule>
  </conditionalFormatting>
  <hyperlinks>
    <hyperlink ref="B19" location="ST_LinkCell" display="ST_LinkCell"/>
    <hyperlink ref="B20" location="DW__LinkCell" display="DW__LinkCell"/>
    <hyperlink ref="B22" location="WQF_LinkCell" display="WQF_LinkCell"/>
    <hyperlink ref="B23" location="FZF_LinkCell" display="FZF_LinkCell"/>
    <hyperlink ref="B24" location="PF_LinkCell" display="PF_LinkCell"/>
    <hyperlink ref="B25" location="G_LinkCell" display="G_LinkCell"/>
    <hyperlink ref="B26" location="O_LinkCell" display="O_LinkCell"/>
    <hyperlink ref="B21" location="WW_LinkCell" display="WW_LinkCell"/>
    <hyperlink ref="B18" location="PT_LinkCell" display="PT_LinkCell"/>
  </hyperlinks>
  <pageMargins left="0.7" right="0.7" top="0.75" bottom="0.75" header="0.3" footer="0.3"/>
  <pageSetup orientation="portrait" r:id="rId1"/>
  <ignoredErrors>
    <ignoredError sqref="B42 F4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Drop Down 2">
              <controlPr defaultSize="0" autoLine="0" autoPict="0">
                <anchor moveWithCells="1">
                  <from>
                    <xdr:col>2</xdr:col>
                    <xdr:colOff>0</xdr:colOff>
                    <xdr:row>1</xdr:row>
                    <xdr:rowOff>180975</xdr:rowOff>
                  </from>
                  <to>
                    <xdr:col>4</xdr:col>
                    <xdr:colOff>1019175</xdr:colOff>
                    <xdr:row>3</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24"/>
  <sheetViews>
    <sheetView workbookViewId="0">
      <selection activeCell="C11" sqref="C11"/>
    </sheetView>
  </sheetViews>
  <sheetFormatPr defaultColWidth="9.140625" defaultRowHeight="15" x14ac:dyDescent="0.25"/>
  <cols>
    <col min="1" max="1" width="19.5703125" style="6" customWidth="1"/>
    <col min="2" max="2" width="38.7109375" style="6" bestFit="1" customWidth="1"/>
    <col min="3" max="12" width="20.5703125" style="6" customWidth="1"/>
    <col min="13" max="16384" width="9.140625" style="6"/>
  </cols>
  <sheetData>
    <row r="1" spans="1:12" ht="15.75" thickBot="1" x14ac:dyDescent="0.3">
      <c r="A1" s="10" t="s">
        <v>20</v>
      </c>
      <c r="B1" s="10"/>
      <c r="C1" s="60">
        <f>SUM(C2:L2)</f>
        <v>9500</v>
      </c>
    </row>
    <row r="2" spans="1:12" hidden="1" x14ac:dyDescent="0.25">
      <c r="A2" s="26" t="s">
        <v>48</v>
      </c>
      <c r="B2" s="21"/>
      <c r="C2" s="64">
        <f>IF(C5=TRUE,C11*C12+C13+C16/1000*C17+C19*C20,0)</f>
        <v>3000</v>
      </c>
      <c r="D2" s="64">
        <f t="shared" ref="D2:L2" si="0">IF(D5=TRUE,D11*D12+D13+D16/1000*D17+D19*D20,0)</f>
        <v>2500</v>
      </c>
      <c r="E2" s="64">
        <f t="shared" si="0"/>
        <v>4000</v>
      </c>
      <c r="F2" s="64">
        <f t="shared" si="0"/>
        <v>0</v>
      </c>
      <c r="G2" s="64">
        <f t="shared" si="0"/>
        <v>0</v>
      </c>
      <c r="H2" s="64">
        <f t="shared" si="0"/>
        <v>0</v>
      </c>
      <c r="I2" s="64">
        <f t="shared" si="0"/>
        <v>0</v>
      </c>
      <c r="J2" s="64">
        <f t="shared" si="0"/>
        <v>0</v>
      </c>
      <c r="K2" s="64">
        <f t="shared" si="0"/>
        <v>0</v>
      </c>
      <c r="L2" s="64">
        <f t="shared" si="0"/>
        <v>0</v>
      </c>
    </row>
    <row r="3" spans="1:12" hidden="1" x14ac:dyDescent="0.25">
      <c r="A3" s="26" t="s">
        <v>49</v>
      </c>
      <c r="B3" s="21"/>
      <c r="C3" s="27" t="b">
        <f>IF(TotalEntities&gt;=1,TRUE,FALSE)</f>
        <v>1</v>
      </c>
      <c r="D3" s="27" t="b">
        <f>IF(TotalEntities&gt;=2,TRUE,FALSE)</f>
        <v>1</v>
      </c>
      <c r="E3" s="27" t="b">
        <f>IF(TotalEntities&gt;=3,TRUE,FALSE)</f>
        <v>1</v>
      </c>
      <c r="F3" s="27" t="b">
        <f>IF(TotalEntities&gt;=4,TRUE,FALSE)</f>
        <v>1</v>
      </c>
      <c r="G3" s="27" t="b">
        <f>IF(TotalEntities&gt;=5,TRUE,FALSE)</f>
        <v>1</v>
      </c>
      <c r="H3" s="27" t="b">
        <f>IF(TotalEntities&gt;=6,TRUE,FALSE)</f>
        <v>1</v>
      </c>
      <c r="I3" s="27" t="b">
        <f>IF(TotalEntities&gt;=7,TRUE,FALSE)</f>
        <v>0</v>
      </c>
      <c r="J3" s="27" t="b">
        <f>IF(TotalEntities&gt;=8,TRUE,FALSE)</f>
        <v>0</v>
      </c>
      <c r="K3" s="27" t="b">
        <f>IF(TotalEntities&gt;=9,TRUE,FALSE)</f>
        <v>0</v>
      </c>
      <c r="L3" s="27" t="b">
        <f>IF(TotalEntities&gt;=10,TRUE,FALSE)</f>
        <v>0</v>
      </c>
    </row>
    <row r="4" spans="1:12" hidden="1" x14ac:dyDescent="0.25">
      <c r="A4" s="26" t="s">
        <v>50</v>
      </c>
      <c r="B4" s="21">
        <v>2</v>
      </c>
      <c r="C4" s="27" t="b">
        <f>VLOOKUP(GettingStarted!$D8,Admin!$A$27:$J$34,$B$4, FALSE)</f>
        <v>1</v>
      </c>
      <c r="D4" s="27" t="b">
        <f>VLOOKUP(GettingStarted!D9,Admin!$A$27:$J$34,$B$4, FALSE)</f>
        <v>1</v>
      </c>
      <c r="E4" s="27" t="b">
        <f>VLOOKUP(GettingStarted!D10,Admin!$A$27:$J$34,$B$4, FALSE)</f>
        <v>1</v>
      </c>
      <c r="F4" s="27" t="b">
        <f>VLOOKUP(GettingStarted!D11,Admin!$A$27:$J$34,$B$4, FALSE)</f>
        <v>0</v>
      </c>
      <c r="G4" s="27" t="b">
        <f>VLOOKUP(GettingStarted!D12,Admin!$A$27:$J$34,$B$4, FALSE)</f>
        <v>0</v>
      </c>
      <c r="H4" s="27" t="b">
        <f>VLOOKUP(GettingStarted!D13,Admin!$A$27:$J$34,$B$4, FALSE)</f>
        <v>0</v>
      </c>
      <c r="I4" s="27" t="e">
        <f>VLOOKUP(GettingStarted!D14,Admin!$A$27:$J$34,$B$4, FALSE)</f>
        <v>#N/A</v>
      </c>
      <c r="J4" s="27" t="e">
        <f>VLOOKUP(GettingStarted!D15,Admin!$A$27:$J$34,$B$4, FALSE)</f>
        <v>#N/A</v>
      </c>
      <c r="K4" s="27" t="e">
        <f>VLOOKUP(GettingStarted!D16,Admin!$A$27:$J$34,$B$4, FALSE)</f>
        <v>#N/A</v>
      </c>
      <c r="L4" s="27" t="e">
        <f>VLOOKUP(GettingStarted!D17,Admin!$A$27:$J$34,$B$4, FALSE)</f>
        <v>#N/A</v>
      </c>
    </row>
    <row r="5" spans="1:12" hidden="1" x14ac:dyDescent="0.25">
      <c r="A5" s="26" t="s">
        <v>58</v>
      </c>
      <c r="B5" s="23"/>
      <c r="C5" s="27" t="b">
        <f>IF(C3=TRUE,IF(C4=TRUE,TRUE,FALSE),FALSE)</f>
        <v>1</v>
      </c>
      <c r="D5" s="27" t="b">
        <f t="shared" ref="D5:L5" si="1">IF(D3=TRUE,IF(D4=TRUE,TRUE,FALSE),FALSE)</f>
        <v>1</v>
      </c>
      <c r="E5" s="27" t="b">
        <f t="shared" si="1"/>
        <v>1</v>
      </c>
      <c r="F5" s="27" t="b">
        <f t="shared" si="1"/>
        <v>0</v>
      </c>
      <c r="G5" s="27" t="b">
        <f t="shared" si="1"/>
        <v>0</v>
      </c>
      <c r="H5" s="27" t="b">
        <f t="shared" si="1"/>
        <v>0</v>
      </c>
      <c r="I5" s="27" t="b">
        <f t="shared" si="1"/>
        <v>0</v>
      </c>
      <c r="J5" s="27" t="b">
        <f t="shared" si="1"/>
        <v>0</v>
      </c>
      <c r="K5" s="27" t="b">
        <f t="shared" si="1"/>
        <v>0</v>
      </c>
      <c r="L5" s="27" t="b">
        <f t="shared" si="1"/>
        <v>0</v>
      </c>
    </row>
    <row r="6" spans="1:12" hidden="1" x14ac:dyDescent="0.25">
      <c r="A6" s="26" t="s">
        <v>60</v>
      </c>
      <c r="B6" s="23"/>
      <c r="C6" s="27" t="b">
        <f>IF(C3=TRUE,IF(C5=FALSE,TRUE,FALSE),FALSE)</f>
        <v>0</v>
      </c>
      <c r="D6" s="27" t="b">
        <f t="shared" ref="D6:L6" si="2">IF(D3=TRUE,IF(D5=FALSE,TRUE,FALSE),FALSE)</f>
        <v>0</v>
      </c>
      <c r="E6" s="27" t="b">
        <f t="shared" si="2"/>
        <v>0</v>
      </c>
      <c r="F6" s="27" t="b">
        <f t="shared" si="2"/>
        <v>1</v>
      </c>
      <c r="G6" s="27" t="b">
        <f t="shared" si="2"/>
        <v>1</v>
      </c>
      <c r="H6" s="27" t="b">
        <f t="shared" si="2"/>
        <v>1</v>
      </c>
      <c r="I6" s="27" t="b">
        <f t="shared" si="2"/>
        <v>0</v>
      </c>
      <c r="J6" s="27" t="b">
        <f t="shared" si="2"/>
        <v>0</v>
      </c>
      <c r="K6" s="27" t="b">
        <f t="shared" si="2"/>
        <v>0</v>
      </c>
      <c r="L6" s="27" t="b">
        <f t="shared" si="2"/>
        <v>0</v>
      </c>
    </row>
    <row r="7" spans="1:12" x14ac:dyDescent="0.25">
      <c r="A7" s="96"/>
      <c r="B7" s="21"/>
      <c r="C7" s="27"/>
      <c r="D7" s="27"/>
      <c r="E7" s="27"/>
      <c r="F7" s="27"/>
      <c r="G7" s="27"/>
      <c r="H7" s="27"/>
      <c r="I7" s="27"/>
      <c r="J7" s="27"/>
      <c r="K7" s="27"/>
      <c r="L7" s="27"/>
    </row>
    <row r="8" spans="1:12" s="130" customFormat="1" ht="45" customHeight="1" x14ac:dyDescent="0.25">
      <c r="A8" s="129" t="s">
        <v>47</v>
      </c>
      <c r="C8" s="131" t="str">
        <f>IF(C3=TRUE,entity1,"")</f>
        <v>Oxbow County</v>
      </c>
      <c r="D8" s="131" t="str">
        <f>IF(D3=TRUE,entity2,"")</f>
        <v>City of Pool</v>
      </c>
      <c r="E8" s="131" t="str">
        <f>IF(E3=TRUE,entity3,"")</f>
        <v>City of Riffle</v>
      </c>
      <c r="F8" s="131" t="str">
        <f>IF(F3=TRUE,entity4,"")</f>
        <v>Wishful Watershed Council</v>
      </c>
      <c r="G8" s="131" t="str">
        <f>IF(G3=TRUE,entity5,"")</f>
        <v>Council of Government</v>
      </c>
      <c r="H8" s="131" t="str">
        <f>IF(H3=TRUE,entity6,"")</f>
        <v>Soil &amp; Water Conservation</v>
      </c>
      <c r="I8" s="131" t="str">
        <f>IF(I3=TRUE,entity7,"")</f>
        <v/>
      </c>
      <c r="J8" s="131" t="str">
        <f>IF(J3=TRUE,entity8,"")</f>
        <v/>
      </c>
      <c r="K8" s="131" t="str">
        <f>IF(K3=TRUE,entity9,"")</f>
        <v/>
      </c>
      <c r="L8" s="131" t="str">
        <f>IF(L3=TRUE,entity10,"")</f>
        <v/>
      </c>
    </row>
    <row r="9" spans="1:12" ht="48.75" customHeight="1" x14ac:dyDescent="0.3">
      <c r="A9" s="21"/>
      <c r="C9" s="86" t="str">
        <f>GettingStarted!D8 &amp; "s cannot raise " &amp; PROPER(PropertyTaxes!$A$1)</f>
        <v>County Governments cannot raise Property Taxes</v>
      </c>
      <c r="D9" s="86" t="str">
        <f>GettingStarted!D9 &amp; "s cannot raise " &amp; PROPER(PropertyTaxes!$A$1)</f>
        <v>Municipal Governments cannot raise Property Taxes</v>
      </c>
      <c r="E9" s="86" t="str">
        <f>GettingStarted!D10 &amp; "s cannot raise " &amp; PROPER(PropertyTaxes!$A$1)</f>
        <v>Municipal Governments cannot raise Property Taxes</v>
      </c>
      <c r="F9" s="86" t="str">
        <f>GettingStarted!D11 &amp; "s cannot raise " &amp; PROPER(PropertyTaxes!$A$1)</f>
        <v>Watershed Councils cannot raise Property Taxes</v>
      </c>
      <c r="G9" s="86" t="str">
        <f>GettingStarted!D12 &amp; "s cannot raise " &amp; PROPER(PropertyTaxes!$A$1)</f>
        <v>Nonprofits cannot raise Property Taxes</v>
      </c>
      <c r="H9" s="86" t="str">
        <f>GettingStarted!D13 &amp; "s cannot raise " &amp; PROPER(PropertyTaxes!$A$1)</f>
        <v>Nonprofits cannot raise Property Taxes</v>
      </c>
      <c r="I9" s="86" t="str">
        <f>GettingStarted!D14 &amp; "s cannot raise " &amp; PROPER(PropertyTaxes!$A$1)</f>
        <v>s cannot raise Property Taxes</v>
      </c>
      <c r="J9" s="86" t="str">
        <f>GettingStarted!D15 &amp; "s cannot raise " &amp; PROPER(PropertyTaxes!$A$1)</f>
        <v>s cannot raise Property Taxes</v>
      </c>
      <c r="K9" s="86" t="str">
        <f>GettingStarted!D16 &amp; "s cannot raise " &amp; PROPER(PropertyTaxes!$A$1)</f>
        <v>s cannot raise Property Taxes</v>
      </c>
      <c r="L9" s="86" t="str">
        <f>GettingStarted!D17 &amp; "s cannot raise " &amp; PROPER(PropertyTaxes!$A$1)</f>
        <v>s cannot raise Property Taxes</v>
      </c>
    </row>
    <row r="10" spans="1:12" x14ac:dyDescent="0.25">
      <c r="A10" s="158" t="s">
        <v>16</v>
      </c>
      <c r="B10" s="158"/>
    </row>
    <row r="11" spans="1:12" x14ac:dyDescent="0.25">
      <c r="B11" s="6" t="s">
        <v>171</v>
      </c>
      <c r="C11" s="67"/>
      <c r="D11" s="67"/>
      <c r="E11" s="67"/>
      <c r="F11" s="67"/>
      <c r="G11" s="67"/>
      <c r="H11" s="67"/>
      <c r="I11" s="67"/>
      <c r="J11" s="67"/>
      <c r="K11" s="67"/>
      <c r="L11" s="67"/>
    </row>
    <row r="12" spans="1:12" x14ac:dyDescent="0.25">
      <c r="B12" s="6" t="s">
        <v>172</v>
      </c>
      <c r="C12" s="70"/>
      <c r="D12" s="70"/>
      <c r="E12" s="70"/>
      <c r="F12" s="70"/>
      <c r="G12" s="70"/>
      <c r="H12" s="70"/>
      <c r="I12" s="70"/>
      <c r="J12" s="70"/>
      <c r="K12" s="70"/>
      <c r="L12" s="70"/>
    </row>
    <row r="13" spans="1:12" x14ac:dyDescent="0.25">
      <c r="A13" s="36" t="s">
        <v>17</v>
      </c>
      <c r="B13" s="6" t="s">
        <v>173</v>
      </c>
      <c r="C13" s="67"/>
      <c r="D13" s="67"/>
      <c r="E13" s="67"/>
      <c r="F13" s="67"/>
      <c r="G13" s="67"/>
      <c r="H13" s="67"/>
      <c r="I13" s="67"/>
      <c r="J13" s="67"/>
      <c r="K13" s="67"/>
      <c r="L13" s="67"/>
    </row>
    <row r="14" spans="1:12" x14ac:dyDescent="0.25">
      <c r="C14" s="30"/>
      <c r="D14" s="30"/>
      <c r="E14" s="30"/>
      <c r="F14" s="30"/>
      <c r="G14" s="30"/>
      <c r="H14" s="30"/>
      <c r="I14" s="30"/>
      <c r="J14" s="30"/>
      <c r="K14" s="30"/>
      <c r="L14" s="30"/>
    </row>
    <row r="15" spans="1:12" x14ac:dyDescent="0.25">
      <c r="A15" s="158" t="s">
        <v>121</v>
      </c>
      <c r="B15" s="158"/>
      <c r="C15" s="30"/>
      <c r="D15" s="30"/>
      <c r="E15" s="30"/>
      <c r="F15" s="30"/>
      <c r="G15" s="30"/>
      <c r="H15" s="30"/>
      <c r="I15" s="30"/>
      <c r="J15" s="30"/>
      <c r="K15" s="30"/>
      <c r="L15" s="30"/>
    </row>
    <row r="16" spans="1:12" x14ac:dyDescent="0.25">
      <c r="B16" s="6" t="s">
        <v>174</v>
      </c>
      <c r="C16" s="67">
        <v>300000000</v>
      </c>
      <c r="D16" s="67">
        <v>500000000</v>
      </c>
      <c r="E16" s="67">
        <v>200000000</v>
      </c>
      <c r="F16" s="67"/>
      <c r="G16" s="67"/>
      <c r="H16" s="67"/>
      <c r="I16" s="67"/>
      <c r="J16" s="67"/>
      <c r="K16" s="67"/>
      <c r="L16" s="67"/>
    </row>
    <row r="17" spans="1:12" x14ac:dyDescent="0.25">
      <c r="B17" s="6" t="s">
        <v>242</v>
      </c>
      <c r="C17" s="68">
        <v>0.01</v>
      </c>
      <c r="D17" s="68">
        <v>5.0000000000000001E-3</v>
      </c>
      <c r="E17" s="68">
        <v>0.02</v>
      </c>
      <c r="F17" s="68"/>
      <c r="G17" s="68"/>
      <c r="H17" s="68"/>
      <c r="I17" s="68"/>
      <c r="J17" s="68"/>
      <c r="K17" s="68"/>
      <c r="L17" s="68"/>
    </row>
    <row r="18" spans="1:12" x14ac:dyDescent="0.25">
      <c r="C18" s="30"/>
      <c r="D18" s="30"/>
      <c r="E18" s="30"/>
      <c r="F18" s="30"/>
      <c r="G18" s="30"/>
      <c r="H18" s="30"/>
      <c r="I18" s="30"/>
      <c r="J18" s="30"/>
      <c r="K18" s="30"/>
      <c r="L18" s="30"/>
    </row>
    <row r="19" spans="1:12" hidden="1" x14ac:dyDescent="0.25">
      <c r="A19" s="36" t="s">
        <v>17</v>
      </c>
      <c r="B19" s="6" t="s">
        <v>21</v>
      </c>
      <c r="C19" s="66"/>
      <c r="D19" s="66"/>
      <c r="E19" s="66"/>
      <c r="F19" s="66"/>
      <c r="G19" s="66"/>
      <c r="H19" s="66"/>
      <c r="I19" s="66"/>
      <c r="J19" s="66"/>
      <c r="K19" s="66"/>
      <c r="L19" s="66"/>
    </row>
    <row r="20" spans="1:12" hidden="1" x14ac:dyDescent="0.25">
      <c r="B20" s="6" t="s">
        <v>22</v>
      </c>
      <c r="C20" s="69"/>
      <c r="D20" s="69"/>
      <c r="E20" s="69"/>
      <c r="F20" s="69"/>
      <c r="G20" s="69"/>
      <c r="H20" s="69"/>
      <c r="I20" s="69"/>
      <c r="J20" s="69"/>
      <c r="K20" s="69"/>
      <c r="L20" s="69"/>
    </row>
    <row r="21" spans="1:12" x14ac:dyDescent="0.25">
      <c r="A21" s="13"/>
    </row>
    <row r="24" spans="1:12" x14ac:dyDescent="0.25">
      <c r="D24" s="27"/>
      <c r="E24" s="27"/>
      <c r="F24" s="27"/>
      <c r="G24" s="27"/>
      <c r="H24" s="27"/>
      <c r="I24" s="27"/>
      <c r="J24" s="27"/>
      <c r="K24" s="27"/>
      <c r="L24" s="27"/>
    </row>
  </sheetData>
  <sheetProtection password="9D10" sheet="1" objects="1" scenarios="1" selectLockedCells="1"/>
  <mergeCells count="2">
    <mergeCell ref="A10:B10"/>
    <mergeCell ref="A15:B15"/>
  </mergeCells>
  <conditionalFormatting sqref="C8">
    <cfRule type="expression" dxfId="990" priority="93">
      <formula>C3</formula>
    </cfRule>
  </conditionalFormatting>
  <conditionalFormatting sqref="D8">
    <cfRule type="expression" dxfId="989" priority="92">
      <formula>D3</formula>
    </cfRule>
  </conditionalFormatting>
  <conditionalFormatting sqref="C11">
    <cfRule type="expression" dxfId="988" priority="90">
      <formula>C$5</formula>
    </cfRule>
  </conditionalFormatting>
  <conditionalFormatting sqref="C12">
    <cfRule type="expression" dxfId="987" priority="89">
      <formula>C$5</formula>
    </cfRule>
  </conditionalFormatting>
  <conditionalFormatting sqref="C13">
    <cfRule type="expression" dxfId="986" priority="88">
      <formula>C$5</formula>
    </cfRule>
  </conditionalFormatting>
  <conditionalFormatting sqref="C17">
    <cfRule type="expression" dxfId="985" priority="86">
      <formula>C$5</formula>
    </cfRule>
  </conditionalFormatting>
  <conditionalFormatting sqref="C19">
    <cfRule type="expression" dxfId="984" priority="85">
      <formula>C$5</formula>
    </cfRule>
  </conditionalFormatting>
  <conditionalFormatting sqref="C20">
    <cfRule type="expression" dxfId="983" priority="84">
      <formula>C$5</formula>
    </cfRule>
  </conditionalFormatting>
  <conditionalFormatting sqref="D11">
    <cfRule type="expression" dxfId="982" priority="83">
      <formula>D$5</formula>
    </cfRule>
  </conditionalFormatting>
  <conditionalFormatting sqref="D12">
    <cfRule type="expression" dxfId="981" priority="82">
      <formula>D$5</formula>
    </cfRule>
  </conditionalFormatting>
  <conditionalFormatting sqref="D13">
    <cfRule type="expression" dxfId="980" priority="81">
      <formula>D$5</formula>
    </cfRule>
  </conditionalFormatting>
  <conditionalFormatting sqref="D16">
    <cfRule type="expression" dxfId="979" priority="80">
      <formula>D$5</formula>
    </cfRule>
  </conditionalFormatting>
  <conditionalFormatting sqref="D17">
    <cfRule type="expression" dxfId="978" priority="79">
      <formula>D$5</formula>
    </cfRule>
  </conditionalFormatting>
  <conditionalFormatting sqref="D19">
    <cfRule type="expression" dxfId="977" priority="78">
      <formula>D$5</formula>
    </cfRule>
  </conditionalFormatting>
  <conditionalFormatting sqref="D20">
    <cfRule type="expression" dxfId="976" priority="77">
      <formula>D$5</formula>
    </cfRule>
  </conditionalFormatting>
  <conditionalFormatting sqref="E11">
    <cfRule type="expression" dxfId="975" priority="76">
      <formula>E$5</formula>
    </cfRule>
  </conditionalFormatting>
  <conditionalFormatting sqref="E12">
    <cfRule type="expression" dxfId="974" priority="75">
      <formula>E$5</formula>
    </cfRule>
  </conditionalFormatting>
  <conditionalFormatting sqref="E13">
    <cfRule type="expression" dxfId="973" priority="74">
      <formula>E$5</formula>
    </cfRule>
  </conditionalFormatting>
  <conditionalFormatting sqref="E16">
    <cfRule type="expression" dxfId="972" priority="73">
      <formula>E$5</formula>
    </cfRule>
  </conditionalFormatting>
  <conditionalFormatting sqref="E17">
    <cfRule type="expression" dxfId="971" priority="72">
      <formula>E$5</formula>
    </cfRule>
  </conditionalFormatting>
  <conditionalFormatting sqref="E19">
    <cfRule type="expression" dxfId="970" priority="71">
      <formula>E$5</formula>
    </cfRule>
  </conditionalFormatting>
  <conditionalFormatting sqref="E20">
    <cfRule type="expression" dxfId="969" priority="70">
      <formula>E$5</formula>
    </cfRule>
  </conditionalFormatting>
  <conditionalFormatting sqref="F11">
    <cfRule type="expression" dxfId="968" priority="69">
      <formula>F$5</formula>
    </cfRule>
  </conditionalFormatting>
  <conditionalFormatting sqref="F12">
    <cfRule type="expression" dxfId="967" priority="68">
      <formula>F$5</formula>
    </cfRule>
  </conditionalFormatting>
  <conditionalFormatting sqref="F13">
    <cfRule type="expression" dxfId="966" priority="67">
      <formula>F$5</formula>
    </cfRule>
  </conditionalFormatting>
  <conditionalFormatting sqref="F16">
    <cfRule type="expression" dxfId="965" priority="66">
      <formula>F$5</formula>
    </cfRule>
  </conditionalFormatting>
  <conditionalFormatting sqref="F17">
    <cfRule type="expression" dxfId="964" priority="65">
      <formula>F$5</formula>
    </cfRule>
  </conditionalFormatting>
  <conditionalFormatting sqref="F19">
    <cfRule type="expression" dxfId="963" priority="64">
      <formula>F$5</formula>
    </cfRule>
  </conditionalFormatting>
  <conditionalFormatting sqref="F20">
    <cfRule type="expression" dxfId="962" priority="63">
      <formula>F$5</formula>
    </cfRule>
  </conditionalFormatting>
  <conditionalFormatting sqref="G11">
    <cfRule type="expression" dxfId="961" priority="62">
      <formula>G$5</formula>
    </cfRule>
  </conditionalFormatting>
  <conditionalFormatting sqref="G12">
    <cfRule type="expression" dxfId="960" priority="61">
      <formula>G$5</formula>
    </cfRule>
  </conditionalFormatting>
  <conditionalFormatting sqref="G13">
    <cfRule type="expression" dxfId="959" priority="60">
      <formula>G$5</formula>
    </cfRule>
  </conditionalFormatting>
  <conditionalFormatting sqref="G16">
    <cfRule type="expression" dxfId="958" priority="59">
      <formula>G$5</formula>
    </cfRule>
  </conditionalFormatting>
  <conditionalFormatting sqref="G17">
    <cfRule type="expression" dxfId="957" priority="58">
      <formula>G$5</formula>
    </cfRule>
  </conditionalFormatting>
  <conditionalFormatting sqref="G19">
    <cfRule type="expression" dxfId="956" priority="57">
      <formula>G$5</formula>
    </cfRule>
  </conditionalFormatting>
  <conditionalFormatting sqref="G20">
    <cfRule type="expression" dxfId="955" priority="56">
      <formula>G$5</formula>
    </cfRule>
  </conditionalFormatting>
  <conditionalFormatting sqref="H11">
    <cfRule type="expression" dxfId="954" priority="55">
      <formula>H$5</formula>
    </cfRule>
  </conditionalFormatting>
  <conditionalFormatting sqref="H12">
    <cfRule type="expression" dxfId="953" priority="54">
      <formula>H$5</formula>
    </cfRule>
  </conditionalFormatting>
  <conditionalFormatting sqref="H13">
    <cfRule type="expression" dxfId="952" priority="53">
      <formula>H$5</formula>
    </cfRule>
  </conditionalFormatting>
  <conditionalFormatting sqref="H16">
    <cfRule type="expression" dxfId="951" priority="52">
      <formula>H$5</formula>
    </cfRule>
  </conditionalFormatting>
  <conditionalFormatting sqref="H17">
    <cfRule type="expression" dxfId="950" priority="51">
      <formula>H$5</formula>
    </cfRule>
  </conditionalFormatting>
  <conditionalFormatting sqref="H19">
    <cfRule type="expression" dxfId="949" priority="50">
      <formula>H$5</formula>
    </cfRule>
  </conditionalFormatting>
  <conditionalFormatting sqref="H20">
    <cfRule type="expression" dxfId="948" priority="49">
      <formula>H$5</formula>
    </cfRule>
  </conditionalFormatting>
  <conditionalFormatting sqref="I11">
    <cfRule type="expression" dxfId="947" priority="48">
      <formula>I$5</formula>
    </cfRule>
  </conditionalFormatting>
  <conditionalFormatting sqref="I12">
    <cfRule type="expression" dxfId="946" priority="47">
      <formula>I$5</formula>
    </cfRule>
  </conditionalFormatting>
  <conditionalFormatting sqref="I13">
    <cfRule type="expression" dxfId="945" priority="46">
      <formula>I$5</formula>
    </cfRule>
  </conditionalFormatting>
  <conditionalFormatting sqref="I16">
    <cfRule type="expression" dxfId="944" priority="45">
      <formula>I$5</formula>
    </cfRule>
  </conditionalFormatting>
  <conditionalFormatting sqref="I17">
    <cfRule type="expression" dxfId="943" priority="44">
      <formula>I$5</formula>
    </cfRule>
  </conditionalFormatting>
  <conditionalFormatting sqref="I19">
    <cfRule type="expression" dxfId="942" priority="43">
      <formula>I$5</formula>
    </cfRule>
  </conditionalFormatting>
  <conditionalFormatting sqref="I20">
    <cfRule type="expression" dxfId="941" priority="42">
      <formula>I$5</formula>
    </cfRule>
  </conditionalFormatting>
  <conditionalFormatting sqref="J11">
    <cfRule type="expression" dxfId="940" priority="41">
      <formula>J$5</formula>
    </cfRule>
  </conditionalFormatting>
  <conditionalFormatting sqref="J12">
    <cfRule type="expression" dxfId="939" priority="40">
      <formula>J$5</formula>
    </cfRule>
  </conditionalFormatting>
  <conditionalFormatting sqref="J13">
    <cfRule type="expression" dxfId="938" priority="39">
      <formula>J$5</formula>
    </cfRule>
  </conditionalFormatting>
  <conditionalFormatting sqref="J16">
    <cfRule type="expression" dxfId="937" priority="38">
      <formula>J$5</formula>
    </cfRule>
  </conditionalFormatting>
  <conditionalFormatting sqref="J17">
    <cfRule type="expression" dxfId="936" priority="37">
      <formula>J$5</formula>
    </cfRule>
  </conditionalFormatting>
  <conditionalFormatting sqref="J19">
    <cfRule type="expression" dxfId="935" priority="36">
      <formula>J$5</formula>
    </cfRule>
  </conditionalFormatting>
  <conditionalFormatting sqref="J20">
    <cfRule type="expression" dxfId="934" priority="35">
      <formula>J$5</formula>
    </cfRule>
  </conditionalFormatting>
  <conditionalFormatting sqref="K11">
    <cfRule type="expression" dxfId="933" priority="34">
      <formula>K$5</formula>
    </cfRule>
  </conditionalFormatting>
  <conditionalFormatting sqref="K12">
    <cfRule type="expression" dxfId="932" priority="33">
      <formula>K$5</formula>
    </cfRule>
  </conditionalFormatting>
  <conditionalFormatting sqref="K13">
    <cfRule type="expression" dxfId="931" priority="32">
      <formula>K$5</formula>
    </cfRule>
  </conditionalFormatting>
  <conditionalFormatting sqref="K16">
    <cfRule type="expression" dxfId="930" priority="31">
      <formula>K$5</formula>
    </cfRule>
  </conditionalFormatting>
  <conditionalFormatting sqref="K17">
    <cfRule type="expression" dxfId="929" priority="30">
      <formula>K$5</formula>
    </cfRule>
  </conditionalFormatting>
  <conditionalFormatting sqref="K19">
    <cfRule type="expression" dxfId="928" priority="29">
      <formula>K$5</formula>
    </cfRule>
  </conditionalFormatting>
  <conditionalFormatting sqref="K20">
    <cfRule type="expression" dxfId="927" priority="28">
      <formula>K$5</formula>
    </cfRule>
  </conditionalFormatting>
  <conditionalFormatting sqref="L11">
    <cfRule type="expression" dxfId="926" priority="27">
      <formula>L$5</formula>
    </cfRule>
  </conditionalFormatting>
  <conditionalFormatting sqref="L12">
    <cfRule type="expression" dxfId="925" priority="26">
      <formula>L$5</formula>
    </cfRule>
  </conditionalFormatting>
  <conditionalFormatting sqref="L13">
    <cfRule type="expression" dxfId="924" priority="25">
      <formula>L$5</formula>
    </cfRule>
  </conditionalFormatting>
  <conditionalFormatting sqref="L16">
    <cfRule type="expression" dxfId="923" priority="24">
      <formula>L$5</formula>
    </cfRule>
  </conditionalFormatting>
  <conditionalFormatting sqref="L17">
    <cfRule type="expression" dxfId="922" priority="23">
      <formula>L$5</formula>
    </cfRule>
  </conditionalFormatting>
  <conditionalFormatting sqref="L19">
    <cfRule type="expression" dxfId="921" priority="22">
      <formula>L$5</formula>
    </cfRule>
  </conditionalFormatting>
  <conditionalFormatting sqref="L20">
    <cfRule type="expression" dxfId="920" priority="21">
      <formula>L$5</formula>
    </cfRule>
  </conditionalFormatting>
  <conditionalFormatting sqref="D9">
    <cfRule type="expression" dxfId="919" priority="20">
      <formula>D6</formula>
    </cfRule>
  </conditionalFormatting>
  <conditionalFormatting sqref="C9">
    <cfRule type="expression" dxfId="918" priority="19">
      <formula>C6</formula>
    </cfRule>
  </conditionalFormatting>
  <conditionalFormatting sqref="E8">
    <cfRule type="expression" dxfId="917" priority="17">
      <formula>E3</formula>
    </cfRule>
  </conditionalFormatting>
  <conditionalFormatting sqref="F8">
    <cfRule type="expression" dxfId="916" priority="16">
      <formula>F3</formula>
    </cfRule>
  </conditionalFormatting>
  <conditionalFormatting sqref="G8">
    <cfRule type="expression" dxfId="915" priority="15">
      <formula>G3</formula>
    </cfRule>
  </conditionalFormatting>
  <conditionalFormatting sqref="H8">
    <cfRule type="expression" dxfId="914" priority="14">
      <formula>H3</formula>
    </cfRule>
  </conditionalFormatting>
  <conditionalFormatting sqref="I8">
    <cfRule type="expression" dxfId="913" priority="13">
      <formula>I3</formula>
    </cfRule>
  </conditionalFormatting>
  <conditionalFormatting sqref="J8">
    <cfRule type="expression" dxfId="912" priority="12">
      <formula>J3</formula>
    </cfRule>
  </conditionalFormatting>
  <conditionalFormatting sqref="K8">
    <cfRule type="expression" dxfId="911" priority="11">
      <formula>K3</formula>
    </cfRule>
  </conditionalFormatting>
  <conditionalFormatting sqref="L8">
    <cfRule type="expression" dxfId="910" priority="10">
      <formula>L3</formula>
    </cfRule>
  </conditionalFormatting>
  <conditionalFormatting sqref="E9">
    <cfRule type="expression" dxfId="909" priority="9">
      <formula>E6</formula>
    </cfRule>
  </conditionalFormatting>
  <conditionalFormatting sqref="F9">
    <cfRule type="expression" dxfId="908" priority="8">
      <formula>F6</formula>
    </cfRule>
  </conditionalFormatting>
  <conditionalFormatting sqref="G9">
    <cfRule type="expression" dxfId="907" priority="7">
      <formula>G6</formula>
    </cfRule>
  </conditionalFormatting>
  <conditionalFormatting sqref="H9">
    <cfRule type="expression" dxfId="906" priority="6">
      <formula>H6</formula>
    </cfRule>
  </conditionalFormatting>
  <conditionalFormatting sqref="I9">
    <cfRule type="expression" dxfId="905" priority="5">
      <formula>I6</formula>
    </cfRule>
  </conditionalFormatting>
  <conditionalFormatting sqref="J9">
    <cfRule type="expression" dxfId="904" priority="4">
      <formula>J6</formula>
    </cfRule>
  </conditionalFormatting>
  <conditionalFormatting sqref="K9">
    <cfRule type="expression" dxfId="903" priority="3">
      <formula>K6</formula>
    </cfRule>
  </conditionalFormatting>
  <conditionalFormatting sqref="L9">
    <cfRule type="expression" dxfId="902" priority="2">
      <formula>L6</formula>
    </cfRule>
  </conditionalFormatting>
  <conditionalFormatting sqref="C16">
    <cfRule type="expression" dxfId="901" priority="1">
      <formula>C$5</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44"/>
  <sheetViews>
    <sheetView workbookViewId="0">
      <selection activeCell="C27" sqref="C27:C28"/>
    </sheetView>
  </sheetViews>
  <sheetFormatPr defaultColWidth="9.140625" defaultRowHeight="15" x14ac:dyDescent="0.25"/>
  <cols>
    <col min="1" max="1" width="19.5703125" style="6" customWidth="1"/>
    <col min="2" max="2" width="35.140625" style="6" bestFit="1" customWidth="1"/>
    <col min="3" max="12" width="20.5703125" style="6" customWidth="1"/>
    <col min="13" max="16384" width="9.140625" style="6"/>
  </cols>
  <sheetData>
    <row r="1" spans="1:12" ht="15.75" thickBot="1" x14ac:dyDescent="0.3">
      <c r="A1" s="40" t="s">
        <v>23</v>
      </c>
      <c r="B1" s="40"/>
      <c r="C1" s="60">
        <f>SUM(C2:L2)</f>
        <v>0</v>
      </c>
    </row>
    <row r="2" spans="1:12" hidden="1" x14ac:dyDescent="0.25">
      <c r="A2" s="26" t="s">
        <v>48</v>
      </c>
      <c r="B2" s="40"/>
      <c r="C2" s="24">
        <f>IF(C5=TRUE,C11*C12+C13+C16*C17+C19*C20+C23*C24+C25+C27*C28+C31*C32+C33+C35*C36+C39*C40+C41+C43*C44,0)</f>
        <v>0</v>
      </c>
      <c r="D2" s="24">
        <f t="shared" ref="D2:L2" si="0">IF(D5=TRUE,D11*D12+D13+D16*D17+D19*D20+D23*D24+D25+D27*D28+D31*D32+D33+D35*D36+D39*D40+D41+D43*D44,0)</f>
        <v>0</v>
      </c>
      <c r="E2" s="24">
        <f>IF(E5=TRUE,E11*E12+E13+E16*E17+E19*E20+E23*E24+E25+E27*E28+E31*E32+E33+E35*E36+E39*E40+E41+E43*E44,0)</f>
        <v>0</v>
      </c>
      <c r="F2" s="24">
        <f>IF(F5=TRUE,F11*F12+F13+F16*F17+F19*F20+F23*F24+F25+F27*F28+F31*F32+F33+F35*F36+F39*F40+F41+F43*F44,0)</f>
        <v>0</v>
      </c>
      <c r="G2" s="24">
        <f>IF(G5=TRUE,G11*G12+G13+G16*G17+G19*G20+G23*G24+G25+G27*G28+G31*G32+G33+G35*G36+G39*G40+G41+G43*G44,0)</f>
        <v>0</v>
      </c>
      <c r="H2" s="24">
        <f t="shared" si="0"/>
        <v>0</v>
      </c>
      <c r="I2" s="24">
        <f t="shared" si="0"/>
        <v>0</v>
      </c>
      <c r="J2" s="24">
        <f t="shared" si="0"/>
        <v>0</v>
      </c>
      <c r="K2" s="24">
        <f t="shared" si="0"/>
        <v>0</v>
      </c>
      <c r="L2" s="24">
        <f t="shared" si="0"/>
        <v>0</v>
      </c>
    </row>
    <row r="3" spans="1:12" hidden="1" x14ac:dyDescent="0.25">
      <c r="A3" s="26" t="s">
        <v>49</v>
      </c>
      <c r="B3" s="40"/>
      <c r="C3" s="27" t="b">
        <f>IF(TotalEntities&gt;=1,TRUE,FALSE)</f>
        <v>1</v>
      </c>
      <c r="D3" s="27" t="b">
        <f>IF(TotalEntities&gt;=2,TRUE,FALSE)</f>
        <v>1</v>
      </c>
      <c r="E3" s="27" t="b">
        <f>IF(TotalEntities&gt;=3,TRUE,FALSE)</f>
        <v>1</v>
      </c>
      <c r="F3" s="27" t="b">
        <f>IF(TotalEntities&gt;=4,TRUE,FALSE)</f>
        <v>1</v>
      </c>
      <c r="G3" s="27" t="b">
        <f>IF(TotalEntities&gt;=5,TRUE,FALSE)</f>
        <v>1</v>
      </c>
      <c r="H3" s="27" t="b">
        <f>IF(TotalEntities&gt;=6,TRUE,FALSE)</f>
        <v>1</v>
      </c>
      <c r="I3" s="27" t="b">
        <f>IF(TotalEntities&gt;=7,TRUE,FALSE)</f>
        <v>0</v>
      </c>
      <c r="J3" s="27" t="b">
        <f>IF(TotalEntities&gt;=8,TRUE,FALSE)</f>
        <v>0</v>
      </c>
      <c r="K3" s="27" t="b">
        <f>IF(TotalEntities&gt;=9,TRUE,FALSE)</f>
        <v>0</v>
      </c>
      <c r="L3" s="27" t="b">
        <f>IF(TotalEntities&gt;=10,TRUE,FALSE)</f>
        <v>0</v>
      </c>
    </row>
    <row r="4" spans="1:12" hidden="1" x14ac:dyDescent="0.25">
      <c r="A4" s="26" t="s">
        <v>50</v>
      </c>
      <c r="B4" s="40">
        <v>3</v>
      </c>
      <c r="C4" s="27" t="b">
        <f>VLOOKUP(GettingStarted!D8,Admin!$A$27:$J$34,$B$4, FALSE)</f>
        <v>1</v>
      </c>
      <c r="D4" s="27" t="b">
        <f>VLOOKUP(GettingStarted!D9,Admin!$A$27:$J$34,$B$4, FALSE)</f>
        <v>1</v>
      </c>
      <c r="E4" s="27" t="b">
        <f>VLOOKUP(GettingStarted!D10,Admin!$A$27:$J$34,$B$4, FALSE)</f>
        <v>1</v>
      </c>
      <c r="F4" s="27" t="b">
        <f>VLOOKUP(GettingStarted!D11,Admin!$A$27:$J$34,$B$4, FALSE)</f>
        <v>0</v>
      </c>
      <c r="G4" s="27" t="b">
        <f>VLOOKUP(GettingStarted!D12,Admin!$A$27:$J$34,$B$4, FALSE)</f>
        <v>0</v>
      </c>
      <c r="H4" s="27" t="b">
        <f>VLOOKUP(GettingStarted!D13,Admin!$A$27:$J$34,$B$4, FALSE)</f>
        <v>0</v>
      </c>
      <c r="I4" s="27" t="e">
        <f>VLOOKUP(GettingStarted!D14,Admin!$A$27:$J$34,$B$4, FALSE)</f>
        <v>#N/A</v>
      </c>
      <c r="J4" s="27" t="e">
        <f>VLOOKUP(GettingStarted!D15,Admin!$A$27:$J$34,$B$4, FALSE)</f>
        <v>#N/A</v>
      </c>
      <c r="K4" s="27" t="e">
        <f>VLOOKUP(GettingStarted!D16,Admin!$A$27:$J$34,$B$4, FALSE)</f>
        <v>#N/A</v>
      </c>
      <c r="L4" s="27" t="e">
        <f>VLOOKUP(GettingStarted!D17,Admin!$A$27:$J$34,$B$4, FALSE)</f>
        <v>#N/A</v>
      </c>
    </row>
    <row r="5" spans="1:12" hidden="1" x14ac:dyDescent="0.25">
      <c r="A5" s="26" t="s">
        <v>58</v>
      </c>
      <c r="B5" s="40"/>
      <c r="C5" s="27" t="b">
        <f>IF(C3=TRUE,IF(C4=TRUE,TRUE,FALSE),FALSE)</f>
        <v>1</v>
      </c>
      <c r="D5" s="27" t="b">
        <f t="shared" ref="D5:L5" si="1">IF(D3=TRUE,IF(D4=TRUE,TRUE,FALSE),FALSE)</f>
        <v>1</v>
      </c>
      <c r="E5" s="27" t="b">
        <f t="shared" si="1"/>
        <v>1</v>
      </c>
      <c r="F5" s="27" t="b">
        <f t="shared" si="1"/>
        <v>0</v>
      </c>
      <c r="G5" s="27" t="b">
        <f t="shared" si="1"/>
        <v>0</v>
      </c>
      <c r="H5" s="27" t="b">
        <f t="shared" si="1"/>
        <v>0</v>
      </c>
      <c r="I5" s="27" t="b">
        <f t="shared" si="1"/>
        <v>0</v>
      </c>
      <c r="J5" s="27" t="b">
        <f t="shared" si="1"/>
        <v>0</v>
      </c>
      <c r="K5" s="27" t="b">
        <f t="shared" si="1"/>
        <v>0</v>
      </c>
      <c r="L5" s="27" t="b">
        <f t="shared" si="1"/>
        <v>0</v>
      </c>
    </row>
    <row r="6" spans="1:12" hidden="1" x14ac:dyDescent="0.25">
      <c r="A6" s="26" t="s">
        <v>60</v>
      </c>
      <c r="B6" s="40"/>
      <c r="C6" s="27" t="b">
        <f>IF(C3=TRUE,IF(C5=FALSE,TRUE,FALSE),FALSE)</f>
        <v>0</v>
      </c>
      <c r="D6" s="27" t="b">
        <f t="shared" ref="D6:L6" si="2">IF(D3=TRUE,IF(D5=FALSE,TRUE,FALSE),FALSE)</f>
        <v>0</v>
      </c>
      <c r="E6" s="27" t="b">
        <f t="shared" si="2"/>
        <v>0</v>
      </c>
      <c r="F6" s="27" t="b">
        <f t="shared" si="2"/>
        <v>1</v>
      </c>
      <c r="G6" s="27" t="b">
        <f t="shared" si="2"/>
        <v>1</v>
      </c>
      <c r="H6" s="27" t="b">
        <f t="shared" si="2"/>
        <v>1</v>
      </c>
      <c r="I6" s="27" t="b">
        <f t="shared" si="2"/>
        <v>0</v>
      </c>
      <c r="J6" s="27" t="b">
        <f t="shared" si="2"/>
        <v>0</v>
      </c>
      <c r="K6" s="27" t="b">
        <f t="shared" si="2"/>
        <v>0</v>
      </c>
      <c r="L6" s="27" t="b">
        <f t="shared" si="2"/>
        <v>0</v>
      </c>
    </row>
    <row r="7" spans="1:12" x14ac:dyDescent="0.25">
      <c r="A7" s="96"/>
      <c r="B7" s="40"/>
      <c r="C7" s="27"/>
      <c r="D7" s="27"/>
      <c r="E7" s="27"/>
      <c r="F7" s="27"/>
      <c r="G7" s="27"/>
      <c r="H7" s="27"/>
      <c r="I7" s="27"/>
      <c r="J7" s="27"/>
      <c r="K7" s="27"/>
      <c r="L7" s="27"/>
    </row>
    <row r="8" spans="1:12" s="130" customFormat="1" ht="45" customHeight="1" x14ac:dyDescent="0.25">
      <c r="A8" s="129" t="s">
        <v>47</v>
      </c>
      <c r="C8" s="131" t="str">
        <f>IF(C3=TRUE,entity1,"")</f>
        <v>Oxbow County</v>
      </c>
      <c r="D8" s="131" t="str">
        <f>IF(D3=TRUE,entity2,"")</f>
        <v>City of Pool</v>
      </c>
      <c r="E8" s="131" t="str">
        <f>IF(E3=TRUE,entity3,"")</f>
        <v>City of Riffle</v>
      </c>
      <c r="F8" s="131" t="str">
        <f>IF(F3=TRUE,entity4,"")</f>
        <v>Wishful Watershed Council</v>
      </c>
      <c r="G8" s="131" t="str">
        <f>IF(G3=TRUE,entity5,"")</f>
        <v>Council of Government</v>
      </c>
      <c r="H8" s="131" t="str">
        <f>IF(H3=TRUE,entity6,"")</f>
        <v>Soil &amp; Water Conservation</v>
      </c>
      <c r="I8" s="131" t="str">
        <f>IF(I3=TRUE,entity7,"")</f>
        <v/>
      </c>
      <c r="J8" s="131" t="str">
        <f>IF(J3=TRUE,entity8,"")</f>
        <v/>
      </c>
      <c r="K8" s="131" t="str">
        <f>IF(K3=TRUE,entity9,"")</f>
        <v/>
      </c>
      <c r="L8" s="131" t="str">
        <f>IF(L3=TRUE,entity10,"")</f>
        <v/>
      </c>
    </row>
    <row r="9" spans="1:12" s="88" customFormat="1" ht="48.75" customHeight="1" x14ac:dyDescent="0.25">
      <c r="A9" s="87"/>
      <c r="C9" s="86" t="str">
        <f>GettingStarted!D8 &amp; "s cannot raise " &amp; PROPER($A$1)</f>
        <v>County Governments cannot raise Sales Taxes</v>
      </c>
      <c r="D9" s="86" t="str">
        <f>GettingStarted!D9 &amp; "s cannot raise " &amp; PROPER($A$1)</f>
        <v>Municipal Governments cannot raise Sales Taxes</v>
      </c>
      <c r="E9" s="86" t="str">
        <f>GettingStarted!D10 &amp; "s cannot raise " &amp; PROPER($A$1)</f>
        <v>Municipal Governments cannot raise Sales Taxes</v>
      </c>
      <c r="F9" s="86" t="str">
        <f>GettingStarted!D11 &amp; "s cannot raise " &amp; PROPER($A$1)</f>
        <v>Watershed Councils cannot raise Sales Taxes</v>
      </c>
      <c r="G9" s="86" t="str">
        <f>GettingStarted!D12 &amp; "s cannot raise " &amp; PROPER($A$1)</f>
        <v>Nonprofits cannot raise Sales Taxes</v>
      </c>
      <c r="H9" s="86" t="str">
        <f>GettingStarted!D13 &amp; "s cannot raise " &amp; PROPER($A$1)</f>
        <v>Nonprofits cannot raise Sales Taxes</v>
      </c>
      <c r="I9" s="86" t="str">
        <f>GettingStarted!D14 &amp; "s cannot raise " &amp; PROPER($A$1)</f>
        <v>s cannot raise Sales Taxes</v>
      </c>
      <c r="J9" s="86" t="str">
        <f>GettingStarted!D15 &amp; "s cannot raise " &amp; PROPER($A$1)</f>
        <v>s cannot raise Sales Taxes</v>
      </c>
      <c r="K9" s="86" t="str">
        <f>GettingStarted!D16 &amp; "s cannot raise " &amp; PROPER($A$1)</f>
        <v>s cannot raise Sales Taxes</v>
      </c>
      <c r="L9" s="86" t="str">
        <f>GettingStarted!D17 &amp; "s cannot raise " &amp; PROPER($A$1)</f>
        <v>s cannot raise Sales Taxes</v>
      </c>
    </row>
    <row r="10" spans="1:12" x14ac:dyDescent="0.25">
      <c r="A10" s="158" t="s">
        <v>116</v>
      </c>
      <c r="B10" s="158"/>
    </row>
    <row r="11" spans="1:12" x14ac:dyDescent="0.25">
      <c r="B11" s="6" t="s">
        <v>117</v>
      </c>
      <c r="C11" s="67"/>
      <c r="D11" s="67"/>
      <c r="E11" s="67"/>
      <c r="F11" s="67"/>
      <c r="G11" s="67"/>
      <c r="H11" s="67"/>
      <c r="I11" s="67"/>
      <c r="J11" s="67"/>
      <c r="K11" s="56"/>
      <c r="L11" s="56"/>
    </row>
    <row r="12" spans="1:12" x14ac:dyDescent="0.25">
      <c r="B12" s="6" t="s">
        <v>104</v>
      </c>
      <c r="C12" s="70"/>
      <c r="D12" s="70"/>
      <c r="E12" s="70"/>
      <c r="F12" s="70"/>
      <c r="G12" s="70"/>
      <c r="H12" s="70"/>
      <c r="I12" s="70"/>
      <c r="J12" s="70"/>
      <c r="K12" s="31"/>
      <c r="L12" s="31"/>
    </row>
    <row r="13" spans="1:12" x14ac:dyDescent="0.25">
      <c r="A13" s="36" t="s">
        <v>17</v>
      </c>
      <c r="B13" s="6" t="s">
        <v>105</v>
      </c>
      <c r="C13" s="67"/>
      <c r="D13" s="67"/>
      <c r="E13" s="67"/>
      <c r="F13" s="67"/>
      <c r="G13" s="67"/>
      <c r="H13" s="67"/>
      <c r="I13" s="67"/>
      <c r="J13" s="67"/>
      <c r="K13" s="56"/>
      <c r="L13" s="56"/>
    </row>
    <row r="14" spans="1:12" x14ac:dyDescent="0.25">
      <c r="C14" s="30"/>
      <c r="D14" s="30"/>
      <c r="E14" s="30"/>
      <c r="F14" s="30"/>
      <c r="G14" s="30"/>
      <c r="H14" s="30"/>
      <c r="I14" s="30"/>
      <c r="J14" s="30"/>
      <c r="K14" s="30"/>
      <c r="L14" s="30"/>
    </row>
    <row r="15" spans="1:12" x14ac:dyDescent="0.25">
      <c r="A15" s="158" t="s">
        <v>122</v>
      </c>
      <c r="B15" s="158"/>
      <c r="C15" s="30"/>
      <c r="D15" s="30"/>
      <c r="E15" s="30"/>
      <c r="F15" s="30"/>
      <c r="G15" s="30"/>
      <c r="H15" s="30"/>
      <c r="I15" s="30"/>
      <c r="J15" s="30"/>
      <c r="K15" s="30"/>
      <c r="L15" s="30"/>
    </row>
    <row r="16" spans="1:12" x14ac:dyDescent="0.25">
      <c r="B16" s="6" t="s">
        <v>118</v>
      </c>
      <c r="C16" s="67"/>
      <c r="D16" s="67"/>
      <c r="E16" s="67"/>
      <c r="F16" s="67"/>
      <c r="G16" s="67"/>
      <c r="H16" s="67"/>
      <c r="I16" s="67"/>
      <c r="J16" s="67"/>
      <c r="K16" s="56"/>
      <c r="L16" s="56"/>
    </row>
    <row r="17" spans="1:12" x14ac:dyDescent="0.25">
      <c r="B17" s="6" t="s">
        <v>147</v>
      </c>
      <c r="C17" s="105"/>
      <c r="D17" s="105"/>
      <c r="E17" s="105"/>
      <c r="F17" s="105"/>
      <c r="G17" s="105"/>
      <c r="H17" s="105"/>
      <c r="I17" s="105"/>
      <c r="J17" s="105"/>
      <c r="K17" s="63"/>
      <c r="L17" s="63"/>
    </row>
    <row r="18" spans="1:12" x14ac:dyDescent="0.25">
      <c r="C18" s="30"/>
      <c r="D18" s="30"/>
      <c r="E18" s="30"/>
      <c r="F18" s="30"/>
      <c r="G18" s="30"/>
      <c r="H18" s="30"/>
      <c r="I18" s="30"/>
      <c r="J18" s="30"/>
      <c r="K18" s="30"/>
      <c r="L18" s="30"/>
    </row>
    <row r="19" spans="1:12" x14ac:dyDescent="0.25">
      <c r="A19" s="36" t="s">
        <v>17</v>
      </c>
      <c r="B19" s="6" t="s">
        <v>119</v>
      </c>
      <c r="C19" s="66"/>
      <c r="D19" s="66"/>
      <c r="E19" s="66"/>
      <c r="F19" s="66"/>
      <c r="G19" s="66"/>
      <c r="H19" s="66"/>
      <c r="I19" s="66"/>
      <c r="J19" s="66"/>
      <c r="K19" s="32"/>
      <c r="L19" s="32"/>
    </row>
    <row r="20" spans="1:12" x14ac:dyDescent="0.25">
      <c r="B20" s="6" t="s">
        <v>120</v>
      </c>
      <c r="C20" s="69"/>
      <c r="D20" s="69"/>
      <c r="E20" s="69"/>
      <c r="F20" s="69"/>
      <c r="G20" s="69"/>
      <c r="H20" s="69"/>
      <c r="I20" s="69"/>
      <c r="J20" s="69"/>
      <c r="K20" s="69"/>
      <c r="L20" s="69"/>
    </row>
    <row r="21" spans="1:12" x14ac:dyDescent="0.25">
      <c r="A21" s="13"/>
    </row>
    <row r="22" spans="1:12" x14ac:dyDescent="0.25">
      <c r="A22" s="132" t="s">
        <v>220</v>
      </c>
    </row>
    <row r="23" spans="1:12" x14ac:dyDescent="0.25">
      <c r="B23" s="6" t="s">
        <v>221</v>
      </c>
      <c r="C23" s="69"/>
      <c r="D23" s="69"/>
      <c r="E23" s="69"/>
      <c r="F23" s="69"/>
      <c r="G23" s="69"/>
      <c r="H23" s="69"/>
      <c r="I23" s="69"/>
      <c r="J23" s="69"/>
      <c r="K23" s="69"/>
      <c r="L23" s="69"/>
    </row>
    <row r="24" spans="1:12" x14ac:dyDescent="0.25">
      <c r="B24" s="6" t="s">
        <v>104</v>
      </c>
      <c r="C24" s="69"/>
      <c r="D24" s="69"/>
      <c r="E24" s="69"/>
      <c r="F24" s="69"/>
      <c r="G24" s="69"/>
      <c r="H24" s="69"/>
      <c r="I24" s="69"/>
      <c r="J24" s="69"/>
      <c r="K24" s="69"/>
      <c r="L24" s="69"/>
    </row>
    <row r="25" spans="1:12" x14ac:dyDescent="0.25">
      <c r="A25" s="36" t="s">
        <v>17</v>
      </c>
      <c r="B25" s="6" t="s">
        <v>105</v>
      </c>
      <c r="C25" s="69"/>
      <c r="D25" s="69"/>
      <c r="E25" s="69"/>
      <c r="F25" s="69"/>
      <c r="G25" s="69"/>
      <c r="H25" s="69"/>
      <c r="I25" s="69"/>
      <c r="J25" s="69"/>
      <c r="K25" s="69"/>
      <c r="L25" s="69"/>
    </row>
    <row r="27" spans="1:12" x14ac:dyDescent="0.25">
      <c r="B27" s="6" t="s">
        <v>222</v>
      </c>
      <c r="C27" s="69"/>
      <c r="D27" s="69"/>
      <c r="E27" s="69"/>
      <c r="F27" s="69"/>
      <c r="G27" s="69"/>
      <c r="H27" s="69"/>
      <c r="I27" s="69"/>
      <c r="J27" s="69"/>
      <c r="K27" s="69"/>
      <c r="L27" s="69"/>
    </row>
    <row r="28" spans="1:12" x14ac:dyDescent="0.25">
      <c r="B28" s="6" t="s">
        <v>147</v>
      </c>
      <c r="C28" s="69"/>
      <c r="D28" s="69"/>
      <c r="E28" s="69"/>
      <c r="F28" s="69"/>
      <c r="G28" s="69"/>
      <c r="H28" s="69"/>
      <c r="I28" s="69"/>
      <c r="J28" s="69"/>
      <c r="K28" s="69"/>
      <c r="L28" s="69"/>
    </row>
    <row r="30" spans="1:12" x14ac:dyDescent="0.25">
      <c r="A30" s="132" t="s">
        <v>223</v>
      </c>
    </row>
    <row r="31" spans="1:12" x14ac:dyDescent="0.25">
      <c r="B31" s="6" t="s">
        <v>225</v>
      </c>
      <c r="C31" s="69"/>
      <c r="D31" s="69"/>
      <c r="E31" s="69"/>
      <c r="F31" s="69"/>
      <c r="G31" s="69"/>
      <c r="H31" s="69"/>
      <c r="I31" s="69"/>
      <c r="J31" s="69"/>
      <c r="K31" s="69"/>
      <c r="L31" s="69"/>
    </row>
    <row r="32" spans="1:12" x14ac:dyDescent="0.25">
      <c r="B32" s="6" t="s">
        <v>104</v>
      </c>
      <c r="C32" s="69"/>
      <c r="D32" s="69"/>
      <c r="E32" s="69"/>
      <c r="F32" s="69"/>
      <c r="G32" s="69"/>
      <c r="H32" s="69"/>
      <c r="I32" s="69"/>
      <c r="J32" s="69"/>
      <c r="K32" s="69"/>
      <c r="L32" s="69"/>
    </row>
    <row r="33" spans="1:12" x14ac:dyDescent="0.25">
      <c r="A33" s="36" t="s">
        <v>17</v>
      </c>
      <c r="B33" s="6" t="s">
        <v>105</v>
      </c>
      <c r="C33" s="69"/>
      <c r="D33" s="69"/>
      <c r="E33" s="69"/>
      <c r="F33" s="69"/>
      <c r="G33" s="69"/>
      <c r="H33" s="69"/>
      <c r="I33" s="69"/>
      <c r="J33" s="69"/>
      <c r="K33" s="69"/>
      <c r="L33" s="69"/>
    </row>
    <row r="35" spans="1:12" x14ac:dyDescent="0.25">
      <c r="B35" s="6" t="s">
        <v>226</v>
      </c>
      <c r="C35" s="69"/>
      <c r="D35" s="69"/>
      <c r="E35" s="69"/>
      <c r="F35" s="69"/>
      <c r="G35" s="69"/>
      <c r="H35" s="69"/>
      <c r="I35" s="69"/>
      <c r="J35" s="69"/>
      <c r="K35" s="69"/>
      <c r="L35" s="69"/>
    </row>
    <row r="36" spans="1:12" x14ac:dyDescent="0.25">
      <c r="B36" s="6" t="s">
        <v>147</v>
      </c>
      <c r="C36" s="69"/>
      <c r="D36" s="69"/>
      <c r="E36" s="69"/>
      <c r="F36" s="69"/>
      <c r="G36" s="69"/>
      <c r="H36" s="69"/>
      <c r="I36" s="69"/>
      <c r="J36" s="69"/>
      <c r="K36" s="69"/>
      <c r="L36" s="69"/>
    </row>
    <row r="38" spans="1:12" x14ac:dyDescent="0.25">
      <c r="A38" s="132" t="s">
        <v>224</v>
      </c>
    </row>
    <row r="39" spans="1:12" x14ac:dyDescent="0.25">
      <c r="B39" s="6" t="s">
        <v>227</v>
      </c>
      <c r="C39" s="69"/>
      <c r="D39" s="69"/>
      <c r="E39" s="69"/>
      <c r="F39" s="69"/>
      <c r="G39" s="69"/>
      <c r="H39" s="69"/>
      <c r="I39" s="69"/>
      <c r="J39" s="69"/>
      <c r="K39" s="69"/>
      <c r="L39" s="69"/>
    </row>
    <row r="40" spans="1:12" x14ac:dyDescent="0.25">
      <c r="B40" s="6" t="s">
        <v>104</v>
      </c>
      <c r="C40" s="69"/>
      <c r="D40" s="69"/>
      <c r="E40" s="69"/>
      <c r="F40" s="69"/>
      <c r="G40" s="69"/>
      <c r="H40" s="69"/>
      <c r="I40" s="69"/>
      <c r="J40" s="69"/>
      <c r="K40" s="69"/>
      <c r="L40" s="69"/>
    </row>
    <row r="41" spans="1:12" x14ac:dyDescent="0.25">
      <c r="A41" s="36" t="s">
        <v>17</v>
      </c>
      <c r="B41" s="6" t="s">
        <v>105</v>
      </c>
      <c r="C41" s="69"/>
      <c r="D41" s="69"/>
      <c r="E41" s="69"/>
      <c r="F41" s="69"/>
      <c r="G41" s="69"/>
      <c r="H41" s="69"/>
      <c r="I41" s="69"/>
      <c r="J41" s="69"/>
      <c r="K41" s="69"/>
      <c r="L41" s="69"/>
    </row>
    <row r="43" spans="1:12" x14ac:dyDescent="0.25">
      <c r="B43" s="6" t="s">
        <v>228</v>
      </c>
      <c r="C43" s="69"/>
      <c r="D43" s="69"/>
      <c r="E43" s="69"/>
      <c r="F43" s="69"/>
      <c r="G43" s="69"/>
      <c r="H43" s="69"/>
      <c r="I43" s="69"/>
      <c r="J43" s="69"/>
      <c r="K43" s="69"/>
      <c r="L43" s="69"/>
    </row>
    <row r="44" spans="1:12" x14ac:dyDescent="0.25">
      <c r="B44" s="6" t="s">
        <v>147</v>
      </c>
      <c r="C44" s="69"/>
      <c r="D44" s="69"/>
      <c r="E44" s="69"/>
      <c r="F44" s="69"/>
      <c r="G44" s="69"/>
      <c r="H44" s="69"/>
      <c r="I44" s="69"/>
      <c r="J44" s="69"/>
      <c r="K44" s="69"/>
      <c r="L44" s="69"/>
    </row>
  </sheetData>
  <sheetProtection password="9D10" sheet="1" objects="1" scenarios="1" selectLockedCells="1"/>
  <mergeCells count="2">
    <mergeCell ref="A10:B10"/>
    <mergeCell ref="A15:B15"/>
  </mergeCells>
  <conditionalFormatting sqref="C8">
    <cfRule type="expression" dxfId="900" priority="181">
      <formula>C$3</formula>
    </cfRule>
  </conditionalFormatting>
  <conditionalFormatting sqref="C11:C13 C16:C17 C19:E20">
    <cfRule type="expression" dxfId="899" priority="178">
      <formula>C$5</formula>
    </cfRule>
  </conditionalFormatting>
  <conditionalFormatting sqref="C9">
    <cfRule type="expression" dxfId="898" priority="108">
      <formula>C6</formula>
    </cfRule>
  </conditionalFormatting>
  <conditionalFormatting sqref="D8">
    <cfRule type="expression" dxfId="897" priority="105">
      <formula>D$3</formula>
    </cfRule>
  </conditionalFormatting>
  <conditionalFormatting sqref="E8">
    <cfRule type="expression" dxfId="896" priority="104">
      <formula>E$3</formula>
    </cfRule>
  </conditionalFormatting>
  <conditionalFormatting sqref="F8">
    <cfRule type="expression" dxfId="895" priority="103">
      <formula>F$3</formula>
    </cfRule>
  </conditionalFormatting>
  <conditionalFormatting sqref="G8">
    <cfRule type="expression" dxfId="894" priority="102">
      <formula>G$3</formula>
    </cfRule>
  </conditionalFormatting>
  <conditionalFormatting sqref="H8">
    <cfRule type="expression" dxfId="893" priority="101">
      <formula>H$3</formula>
    </cfRule>
  </conditionalFormatting>
  <conditionalFormatting sqref="I8">
    <cfRule type="expression" dxfId="892" priority="100">
      <formula>I$3</formula>
    </cfRule>
  </conditionalFormatting>
  <conditionalFormatting sqref="J8">
    <cfRule type="expression" dxfId="891" priority="99">
      <formula>J$3</formula>
    </cfRule>
  </conditionalFormatting>
  <conditionalFormatting sqref="K8">
    <cfRule type="expression" dxfId="890" priority="98">
      <formula>K$3</formula>
    </cfRule>
  </conditionalFormatting>
  <conditionalFormatting sqref="L8">
    <cfRule type="expression" dxfId="889" priority="97">
      <formula>L$3</formula>
    </cfRule>
  </conditionalFormatting>
  <conditionalFormatting sqref="D9">
    <cfRule type="expression" dxfId="888" priority="96">
      <formula>D6</formula>
    </cfRule>
  </conditionalFormatting>
  <conditionalFormatting sqref="E9">
    <cfRule type="expression" dxfId="887" priority="95">
      <formula>E6</formula>
    </cfRule>
  </conditionalFormatting>
  <conditionalFormatting sqref="F9">
    <cfRule type="expression" dxfId="886" priority="94">
      <formula>F6</formula>
    </cfRule>
  </conditionalFormatting>
  <conditionalFormatting sqref="G9">
    <cfRule type="expression" dxfId="885" priority="93">
      <formula>G6</formula>
    </cfRule>
  </conditionalFormatting>
  <conditionalFormatting sqref="H9">
    <cfRule type="expression" dxfId="884" priority="92">
      <formula>H6</formula>
    </cfRule>
  </conditionalFormatting>
  <conditionalFormatting sqref="I9">
    <cfRule type="expression" dxfId="883" priority="91">
      <formula>I6</formula>
    </cfRule>
  </conditionalFormatting>
  <conditionalFormatting sqref="J9">
    <cfRule type="expression" dxfId="882" priority="90">
      <formula>J6</formula>
    </cfRule>
  </conditionalFormatting>
  <conditionalFormatting sqref="K9">
    <cfRule type="expression" dxfId="881" priority="89">
      <formula>K6</formula>
    </cfRule>
  </conditionalFormatting>
  <conditionalFormatting sqref="L9">
    <cfRule type="expression" dxfId="880" priority="88">
      <formula>L6</formula>
    </cfRule>
  </conditionalFormatting>
  <conditionalFormatting sqref="D11:D13">
    <cfRule type="expression" dxfId="879" priority="87">
      <formula>D$5</formula>
    </cfRule>
  </conditionalFormatting>
  <conditionalFormatting sqref="E11:E13">
    <cfRule type="expression" dxfId="878" priority="86">
      <formula>E$5</formula>
    </cfRule>
  </conditionalFormatting>
  <conditionalFormatting sqref="F11:F13">
    <cfRule type="expression" dxfId="877" priority="85">
      <formula>F$5</formula>
    </cfRule>
  </conditionalFormatting>
  <conditionalFormatting sqref="G11:G13">
    <cfRule type="expression" dxfId="876" priority="84">
      <formula>G$5</formula>
    </cfRule>
  </conditionalFormatting>
  <conditionalFormatting sqref="H11:H13">
    <cfRule type="expression" dxfId="875" priority="83">
      <formula>H$5</formula>
    </cfRule>
  </conditionalFormatting>
  <conditionalFormatting sqref="I11:I13">
    <cfRule type="expression" dxfId="874" priority="82">
      <formula>I$5</formula>
    </cfRule>
  </conditionalFormatting>
  <conditionalFormatting sqref="J11:J13">
    <cfRule type="expression" dxfId="873" priority="81">
      <formula>J$5</formula>
    </cfRule>
  </conditionalFormatting>
  <conditionalFormatting sqref="K11:K13">
    <cfRule type="expression" dxfId="872" priority="80">
      <formula>K$5</formula>
    </cfRule>
  </conditionalFormatting>
  <conditionalFormatting sqref="L11:L13">
    <cfRule type="expression" dxfId="871" priority="79">
      <formula>L$5</formula>
    </cfRule>
  </conditionalFormatting>
  <conditionalFormatting sqref="D16:D17">
    <cfRule type="expression" dxfId="870" priority="78">
      <formula>D$5</formula>
    </cfRule>
  </conditionalFormatting>
  <conditionalFormatting sqref="E16:E17">
    <cfRule type="expression" dxfId="869" priority="77">
      <formula>E$5</formula>
    </cfRule>
  </conditionalFormatting>
  <conditionalFormatting sqref="F16:F17">
    <cfRule type="expression" dxfId="868" priority="76">
      <formula>F$5</formula>
    </cfRule>
  </conditionalFormatting>
  <conditionalFormatting sqref="G16:G17">
    <cfRule type="expression" dxfId="867" priority="75">
      <formula>G$5</formula>
    </cfRule>
  </conditionalFormatting>
  <conditionalFormatting sqref="H16:H17">
    <cfRule type="expression" dxfId="866" priority="74">
      <formula>H$5</formula>
    </cfRule>
  </conditionalFormatting>
  <conditionalFormatting sqref="I16:I17">
    <cfRule type="expression" dxfId="865" priority="73">
      <formula>I$5</formula>
    </cfRule>
  </conditionalFormatting>
  <conditionalFormatting sqref="J16:J17">
    <cfRule type="expression" dxfId="864" priority="72">
      <formula>J$5</formula>
    </cfRule>
  </conditionalFormatting>
  <conditionalFormatting sqref="K16:K17">
    <cfRule type="expression" dxfId="863" priority="71">
      <formula>K$5</formula>
    </cfRule>
  </conditionalFormatting>
  <conditionalFormatting sqref="L16:L17">
    <cfRule type="expression" dxfId="862" priority="70">
      <formula>L$5</formula>
    </cfRule>
  </conditionalFormatting>
  <conditionalFormatting sqref="F19:F20">
    <cfRule type="expression" dxfId="861" priority="67">
      <formula>F$5</formula>
    </cfRule>
  </conditionalFormatting>
  <conditionalFormatting sqref="G19:G20">
    <cfRule type="expression" dxfId="860" priority="66">
      <formula>G$5</formula>
    </cfRule>
  </conditionalFormatting>
  <conditionalFormatting sqref="H19:H20">
    <cfRule type="expression" dxfId="859" priority="65">
      <formula>H$5</formula>
    </cfRule>
  </conditionalFormatting>
  <conditionalFormatting sqref="I19:I20">
    <cfRule type="expression" dxfId="858" priority="64">
      <formula>I$5</formula>
    </cfRule>
  </conditionalFormatting>
  <conditionalFormatting sqref="J19:J20">
    <cfRule type="expression" dxfId="857" priority="63">
      <formula>J$5</formula>
    </cfRule>
  </conditionalFormatting>
  <conditionalFormatting sqref="K19:K20">
    <cfRule type="expression" dxfId="856" priority="62">
      <formula>K$5</formula>
    </cfRule>
  </conditionalFormatting>
  <conditionalFormatting sqref="L19:L20">
    <cfRule type="expression" dxfId="855" priority="61">
      <formula>L$5</formula>
    </cfRule>
  </conditionalFormatting>
  <conditionalFormatting sqref="C23:C25">
    <cfRule type="expression" dxfId="854" priority="60">
      <formula>C$5</formula>
    </cfRule>
  </conditionalFormatting>
  <conditionalFormatting sqref="C27:C28">
    <cfRule type="expression" dxfId="853" priority="59">
      <formula>C$5</formula>
    </cfRule>
  </conditionalFormatting>
  <conditionalFormatting sqref="C31:C33">
    <cfRule type="expression" dxfId="852" priority="58">
      <formula>C$5</formula>
    </cfRule>
  </conditionalFormatting>
  <conditionalFormatting sqref="C35:C36">
    <cfRule type="expression" dxfId="851" priority="57">
      <formula>C$5</formula>
    </cfRule>
  </conditionalFormatting>
  <conditionalFormatting sqref="C39:C41">
    <cfRule type="expression" dxfId="850" priority="56">
      <formula>C$5</formula>
    </cfRule>
  </conditionalFormatting>
  <conditionalFormatting sqref="C43:C44">
    <cfRule type="expression" dxfId="849" priority="55">
      <formula>C$5</formula>
    </cfRule>
  </conditionalFormatting>
  <conditionalFormatting sqref="D23:D25">
    <cfRule type="expression" dxfId="848" priority="54">
      <formula>D$5</formula>
    </cfRule>
  </conditionalFormatting>
  <conditionalFormatting sqref="D27:D28">
    <cfRule type="expression" dxfId="847" priority="53">
      <formula>D$5</formula>
    </cfRule>
  </conditionalFormatting>
  <conditionalFormatting sqref="D31:D33">
    <cfRule type="expression" dxfId="846" priority="52">
      <formula>D$5</formula>
    </cfRule>
  </conditionalFormatting>
  <conditionalFormatting sqref="D35:D36">
    <cfRule type="expression" dxfId="845" priority="51">
      <formula>D$5</formula>
    </cfRule>
  </conditionalFormatting>
  <conditionalFormatting sqref="D39:D41">
    <cfRule type="expression" dxfId="844" priority="50">
      <formula>D$5</formula>
    </cfRule>
  </conditionalFormatting>
  <conditionalFormatting sqref="D43:D44">
    <cfRule type="expression" dxfId="843" priority="49">
      <formula>D$5</formula>
    </cfRule>
  </conditionalFormatting>
  <conditionalFormatting sqref="E23:E25">
    <cfRule type="expression" dxfId="842" priority="48">
      <formula>E$5</formula>
    </cfRule>
  </conditionalFormatting>
  <conditionalFormatting sqref="E27:E28">
    <cfRule type="expression" dxfId="841" priority="47">
      <formula>E$5</formula>
    </cfRule>
  </conditionalFormatting>
  <conditionalFormatting sqref="E31:E33">
    <cfRule type="expression" dxfId="840" priority="46">
      <formula>E$5</formula>
    </cfRule>
  </conditionalFormatting>
  <conditionalFormatting sqref="E35:E36">
    <cfRule type="expression" dxfId="839" priority="45">
      <formula>E$5</formula>
    </cfRule>
  </conditionalFormatting>
  <conditionalFormatting sqref="E39:E41">
    <cfRule type="expression" dxfId="838" priority="44">
      <formula>E$5</formula>
    </cfRule>
  </conditionalFormatting>
  <conditionalFormatting sqref="E43:E44">
    <cfRule type="expression" dxfId="837" priority="43">
      <formula>E$5</formula>
    </cfRule>
  </conditionalFormatting>
  <conditionalFormatting sqref="F23:F25">
    <cfRule type="expression" dxfId="836" priority="42">
      <formula>F$5</formula>
    </cfRule>
  </conditionalFormatting>
  <conditionalFormatting sqref="F27:F28">
    <cfRule type="expression" dxfId="835" priority="41">
      <formula>F$5</formula>
    </cfRule>
  </conditionalFormatting>
  <conditionalFormatting sqref="F31:F33">
    <cfRule type="expression" dxfId="834" priority="40">
      <formula>F$5</formula>
    </cfRule>
  </conditionalFormatting>
  <conditionalFormatting sqref="F35:F36">
    <cfRule type="expression" dxfId="833" priority="39">
      <formula>F$5</formula>
    </cfRule>
  </conditionalFormatting>
  <conditionalFormatting sqref="F39:F41">
    <cfRule type="expression" dxfId="832" priority="38">
      <formula>F$5</formula>
    </cfRule>
  </conditionalFormatting>
  <conditionalFormatting sqref="F43:F44">
    <cfRule type="expression" dxfId="831" priority="37">
      <formula>F$5</formula>
    </cfRule>
  </conditionalFormatting>
  <conditionalFormatting sqref="G23:G25">
    <cfRule type="expression" dxfId="830" priority="36">
      <formula>G$5</formula>
    </cfRule>
  </conditionalFormatting>
  <conditionalFormatting sqref="G27:G28">
    <cfRule type="expression" dxfId="829" priority="35">
      <formula>G$5</formula>
    </cfRule>
  </conditionalFormatting>
  <conditionalFormatting sqref="G31:G33">
    <cfRule type="expression" dxfId="828" priority="34">
      <formula>G$5</formula>
    </cfRule>
  </conditionalFormatting>
  <conditionalFormatting sqref="G35:G36">
    <cfRule type="expression" dxfId="827" priority="33">
      <formula>G$5</formula>
    </cfRule>
  </conditionalFormatting>
  <conditionalFormatting sqref="G39:G41">
    <cfRule type="expression" dxfId="826" priority="32">
      <formula>G$5</formula>
    </cfRule>
  </conditionalFormatting>
  <conditionalFormatting sqref="G43:G44">
    <cfRule type="expression" dxfId="825" priority="31">
      <formula>G$5</formula>
    </cfRule>
  </conditionalFormatting>
  <conditionalFormatting sqref="H23:H25">
    <cfRule type="expression" dxfId="824" priority="30">
      <formula>H$5</formula>
    </cfRule>
  </conditionalFormatting>
  <conditionalFormatting sqref="H27:H28">
    <cfRule type="expression" dxfId="823" priority="29">
      <formula>H$5</formula>
    </cfRule>
  </conditionalFormatting>
  <conditionalFormatting sqref="H31:H33">
    <cfRule type="expression" dxfId="822" priority="28">
      <formula>H$5</formula>
    </cfRule>
  </conditionalFormatting>
  <conditionalFormatting sqref="H35:H36">
    <cfRule type="expression" dxfId="821" priority="27">
      <formula>H$5</formula>
    </cfRule>
  </conditionalFormatting>
  <conditionalFormatting sqref="H39:H41">
    <cfRule type="expression" dxfId="820" priority="26">
      <formula>H$5</formula>
    </cfRule>
  </conditionalFormatting>
  <conditionalFormatting sqref="H43:H44">
    <cfRule type="expression" dxfId="819" priority="25">
      <formula>H$5</formula>
    </cfRule>
  </conditionalFormatting>
  <conditionalFormatting sqref="I23:I25">
    <cfRule type="expression" dxfId="818" priority="24">
      <formula>I$5</formula>
    </cfRule>
  </conditionalFormatting>
  <conditionalFormatting sqref="I27:I28">
    <cfRule type="expression" dxfId="817" priority="23">
      <formula>I$5</formula>
    </cfRule>
  </conditionalFormatting>
  <conditionalFormatting sqref="I31:I33">
    <cfRule type="expression" dxfId="816" priority="22">
      <formula>I$5</formula>
    </cfRule>
  </conditionalFormatting>
  <conditionalFormatting sqref="I35:I36">
    <cfRule type="expression" dxfId="815" priority="21">
      <formula>I$5</formula>
    </cfRule>
  </conditionalFormatting>
  <conditionalFormatting sqref="I39:I41">
    <cfRule type="expression" dxfId="814" priority="20">
      <formula>I$5</formula>
    </cfRule>
  </conditionalFormatting>
  <conditionalFormatting sqref="I43:I44">
    <cfRule type="expression" dxfId="813" priority="19">
      <formula>I$5</formula>
    </cfRule>
  </conditionalFormatting>
  <conditionalFormatting sqref="J23:J25">
    <cfRule type="expression" dxfId="812" priority="18">
      <formula>J$5</formula>
    </cfRule>
  </conditionalFormatting>
  <conditionalFormatting sqref="J27:J28">
    <cfRule type="expression" dxfId="811" priority="17">
      <formula>J$5</formula>
    </cfRule>
  </conditionalFormatting>
  <conditionalFormatting sqref="J31:J33">
    <cfRule type="expression" dxfId="810" priority="16">
      <formula>J$5</formula>
    </cfRule>
  </conditionalFormatting>
  <conditionalFormatting sqref="J35:J36">
    <cfRule type="expression" dxfId="809" priority="15">
      <formula>J$5</formula>
    </cfRule>
  </conditionalFormatting>
  <conditionalFormatting sqref="J39:J41">
    <cfRule type="expression" dxfId="808" priority="14">
      <formula>J$5</formula>
    </cfRule>
  </conditionalFormatting>
  <conditionalFormatting sqref="J43:J44">
    <cfRule type="expression" dxfId="807" priority="13">
      <formula>J$5</formula>
    </cfRule>
  </conditionalFormatting>
  <conditionalFormatting sqref="K23:K25">
    <cfRule type="expression" dxfId="806" priority="12">
      <formula>K$5</formula>
    </cfRule>
  </conditionalFormatting>
  <conditionalFormatting sqref="K27:K28">
    <cfRule type="expression" dxfId="805" priority="11">
      <formula>K$5</formula>
    </cfRule>
  </conditionalFormatting>
  <conditionalFormatting sqref="K31:K33">
    <cfRule type="expression" dxfId="804" priority="10">
      <formula>K$5</formula>
    </cfRule>
  </conditionalFormatting>
  <conditionalFormatting sqref="K35:K36">
    <cfRule type="expression" dxfId="803" priority="9">
      <formula>K$5</formula>
    </cfRule>
  </conditionalFormatting>
  <conditionalFormatting sqref="K39:K41">
    <cfRule type="expression" dxfId="802" priority="8">
      <formula>K$5</formula>
    </cfRule>
  </conditionalFormatting>
  <conditionalFormatting sqref="K43:K44">
    <cfRule type="expression" dxfId="801" priority="7">
      <formula>K$5</formula>
    </cfRule>
  </conditionalFormatting>
  <conditionalFormatting sqref="L23:L25">
    <cfRule type="expression" dxfId="800" priority="6">
      <formula>L$5</formula>
    </cfRule>
  </conditionalFormatting>
  <conditionalFormatting sqref="L27:L28">
    <cfRule type="expression" dxfId="799" priority="5">
      <formula>L$5</formula>
    </cfRule>
  </conditionalFormatting>
  <conditionalFormatting sqref="L31:L33">
    <cfRule type="expression" dxfId="798" priority="4">
      <formula>L$5</formula>
    </cfRule>
  </conditionalFormatting>
  <conditionalFormatting sqref="L35:L36">
    <cfRule type="expression" dxfId="797" priority="3">
      <formula>L$5</formula>
    </cfRule>
  </conditionalFormatting>
  <conditionalFormatting sqref="L39:L41">
    <cfRule type="expression" dxfId="796" priority="2">
      <formula>L$5</formula>
    </cfRule>
  </conditionalFormatting>
  <conditionalFormatting sqref="L43:L44">
    <cfRule type="expression" dxfId="795" priority="1">
      <formula>L$5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49"/>
  <sheetViews>
    <sheetView workbookViewId="0">
      <selection activeCell="A7" sqref="A7"/>
    </sheetView>
  </sheetViews>
  <sheetFormatPr defaultColWidth="9.140625" defaultRowHeight="15" x14ac:dyDescent="0.25"/>
  <cols>
    <col min="1" max="1" width="19.5703125" style="6" customWidth="1"/>
    <col min="2" max="2" width="55.5703125" style="6" bestFit="1" customWidth="1"/>
    <col min="3" max="12" width="20.5703125" style="6" customWidth="1"/>
    <col min="13" max="16384" width="9.140625" style="6"/>
  </cols>
  <sheetData>
    <row r="1" spans="1:12" ht="15.75" thickBot="1" x14ac:dyDescent="0.3">
      <c r="A1" s="10" t="s">
        <v>114</v>
      </c>
      <c r="C1" s="89">
        <f>SUM(C2:L2)</f>
        <v>0</v>
      </c>
    </row>
    <row r="2" spans="1:12" hidden="1" x14ac:dyDescent="0.25">
      <c r="A2" s="26" t="s">
        <v>48</v>
      </c>
      <c r="B2" s="39"/>
      <c r="C2" s="24">
        <f>C11*C12+C13+C18*C25*C17+C19*C26*C17+C20*C27*C17+C21*C28*C17+C33*(C32-C31)*C18*C17+C37*(C36-C35)*C19*C17+C41*(C40-C39)*C20*C17+C45*(C44-C43)*C21*C17</f>
        <v>0</v>
      </c>
      <c r="D2" s="24">
        <f t="shared" ref="D2:L2" si="0">D11*D12+D13+D18*D25*D17+D19*D26*D17+D20*D27*D17+D21*D28*D17+D33*(D32-D31)*D17+D37*(D36-D35)*D17+D41*(D40-D39)*D17+D45*(D44-D43)*D17</f>
        <v>0</v>
      </c>
      <c r="E2" s="24">
        <f t="shared" si="0"/>
        <v>0</v>
      </c>
      <c r="F2" s="24">
        <f t="shared" si="0"/>
        <v>0</v>
      </c>
      <c r="G2" s="24">
        <f t="shared" si="0"/>
        <v>0</v>
      </c>
      <c r="H2" s="24">
        <f t="shared" si="0"/>
        <v>0</v>
      </c>
      <c r="I2" s="24">
        <f t="shared" si="0"/>
        <v>0</v>
      </c>
      <c r="J2" s="24">
        <f t="shared" si="0"/>
        <v>0</v>
      </c>
      <c r="K2" s="24">
        <f t="shared" si="0"/>
        <v>0</v>
      </c>
      <c r="L2" s="24">
        <f t="shared" si="0"/>
        <v>0</v>
      </c>
    </row>
    <row r="3" spans="1:12" hidden="1" x14ac:dyDescent="0.25">
      <c r="A3" s="26" t="s">
        <v>49</v>
      </c>
      <c r="B3" s="40"/>
      <c r="C3" s="27" t="b">
        <f>IF(TotalEntities&gt;=1,TRUE,FALSE)</f>
        <v>1</v>
      </c>
      <c r="D3" s="27" t="b">
        <f>IF(TotalEntities&gt;=2,TRUE,FALSE)</f>
        <v>1</v>
      </c>
      <c r="E3" s="27" t="b">
        <f>IF(TotalEntities&gt;=3,TRUE,FALSE)</f>
        <v>1</v>
      </c>
      <c r="F3" s="27" t="b">
        <f>IF(TotalEntities&gt;=4,TRUE,FALSE)</f>
        <v>1</v>
      </c>
      <c r="G3" s="27" t="b">
        <f>IF(TotalEntities&gt;=5,TRUE,FALSE)</f>
        <v>1</v>
      </c>
      <c r="H3" s="27" t="b">
        <f>IF(TotalEntities&gt;=6,TRUE,FALSE)</f>
        <v>1</v>
      </c>
      <c r="I3" s="27" t="b">
        <f>IF(TotalEntities&gt;=7,TRUE,FALSE)</f>
        <v>0</v>
      </c>
      <c r="J3" s="27" t="b">
        <f>IF(TotalEntities&gt;=8,TRUE,FALSE)</f>
        <v>0</v>
      </c>
      <c r="K3" s="27" t="b">
        <f>IF(TotalEntities&gt;=9,TRUE,FALSE)</f>
        <v>0</v>
      </c>
      <c r="L3" s="27" t="b">
        <f>IF(TotalEntities&gt;=10,TRUE,FALSE)</f>
        <v>0</v>
      </c>
    </row>
    <row r="4" spans="1:12" hidden="1" x14ac:dyDescent="0.25">
      <c r="A4" s="26" t="s">
        <v>50</v>
      </c>
      <c r="B4" s="40">
        <v>4</v>
      </c>
      <c r="C4" s="27" t="b">
        <f>VLOOKUP(GettingStarted!D8,Admin!$A$27:$J$34,$B$4, FALSE)</f>
        <v>1</v>
      </c>
      <c r="D4" s="27" t="b">
        <f>VLOOKUP(GettingStarted!D9,Admin!$A$27:$J$34,$B$4, FALSE)</f>
        <v>1</v>
      </c>
      <c r="E4" s="27" t="b">
        <f>VLOOKUP(GettingStarted!D10,Admin!$A$27:$J$34,$B$4, FALSE)</f>
        <v>1</v>
      </c>
      <c r="F4" s="27" t="b">
        <f>VLOOKUP(GettingStarted!D11,Admin!$A$27:$J$34,$B$4, FALSE)</f>
        <v>0</v>
      </c>
      <c r="G4" s="27" t="b">
        <f>VLOOKUP(GettingStarted!D12,Admin!$A$27:$J$34,$B$4, FALSE)</f>
        <v>0</v>
      </c>
      <c r="H4" s="27" t="b">
        <f>VLOOKUP(GettingStarted!D13,Admin!$A$27:$J$34,$B$4, FALSE)</f>
        <v>0</v>
      </c>
      <c r="I4" s="27" t="e">
        <f>VLOOKUP(GettingStarted!D14,Admin!$A$27:$J$34,$B$4, FALSE)</f>
        <v>#N/A</v>
      </c>
      <c r="J4" s="27" t="e">
        <f>VLOOKUP(GettingStarted!D15,Admin!$A$27:$J$34,$B$4, FALSE)</f>
        <v>#N/A</v>
      </c>
      <c r="K4" s="27" t="e">
        <f>VLOOKUP(GettingStarted!D16,Admin!$A$27:$J$34,$B$4, FALSE)</f>
        <v>#N/A</v>
      </c>
      <c r="L4" s="27" t="e">
        <f>VLOOKUP(GettingStarted!D17,Admin!$A$27:$J$34,$B$4, FALSE)</f>
        <v>#N/A</v>
      </c>
    </row>
    <row r="5" spans="1:12" hidden="1" x14ac:dyDescent="0.25">
      <c r="A5" s="26" t="s">
        <v>58</v>
      </c>
      <c r="B5" s="40"/>
      <c r="C5" s="27" t="b">
        <f>IF(C3=TRUE,IF(C4=TRUE,TRUE,FALSE),FALSE)</f>
        <v>1</v>
      </c>
      <c r="D5" s="27" t="b">
        <f t="shared" ref="D5:L5" si="1">IF(D3=TRUE,IF(D4=TRUE,TRUE,FALSE),FALSE)</f>
        <v>1</v>
      </c>
      <c r="E5" s="27" t="b">
        <f t="shared" si="1"/>
        <v>1</v>
      </c>
      <c r="F5" s="27" t="b">
        <f t="shared" si="1"/>
        <v>0</v>
      </c>
      <c r="G5" s="27" t="b">
        <f t="shared" si="1"/>
        <v>0</v>
      </c>
      <c r="H5" s="27" t="b">
        <f t="shared" si="1"/>
        <v>0</v>
      </c>
      <c r="I5" s="27" t="b">
        <f t="shared" si="1"/>
        <v>0</v>
      </c>
      <c r="J5" s="27" t="b">
        <f t="shared" si="1"/>
        <v>0</v>
      </c>
      <c r="K5" s="27" t="b">
        <f t="shared" si="1"/>
        <v>0</v>
      </c>
      <c r="L5" s="27" t="b">
        <f t="shared" si="1"/>
        <v>0</v>
      </c>
    </row>
    <row r="6" spans="1:12" hidden="1" x14ac:dyDescent="0.25">
      <c r="A6" s="26" t="s">
        <v>60</v>
      </c>
      <c r="B6" s="40"/>
      <c r="C6" s="27" t="b">
        <f>IF(C3=TRUE,IF(C5=FALSE,TRUE,FALSE),FALSE)</f>
        <v>0</v>
      </c>
      <c r="D6" s="27" t="b">
        <f t="shared" ref="D6:L6" si="2">IF(D3=TRUE,IF(D5=FALSE,TRUE,FALSE),FALSE)</f>
        <v>0</v>
      </c>
      <c r="E6" s="27" t="b">
        <f t="shared" si="2"/>
        <v>0</v>
      </c>
      <c r="F6" s="27" t="b">
        <f t="shared" si="2"/>
        <v>1</v>
      </c>
      <c r="G6" s="27" t="b">
        <f t="shared" si="2"/>
        <v>1</v>
      </c>
      <c r="H6" s="27" t="b">
        <f t="shared" si="2"/>
        <v>1</v>
      </c>
      <c r="I6" s="27" t="b">
        <f t="shared" si="2"/>
        <v>0</v>
      </c>
      <c r="J6" s="27" t="b">
        <f t="shared" si="2"/>
        <v>0</v>
      </c>
      <c r="K6" s="27" t="b">
        <f t="shared" si="2"/>
        <v>0</v>
      </c>
      <c r="L6" s="27" t="b">
        <f t="shared" si="2"/>
        <v>0</v>
      </c>
    </row>
    <row r="7" spans="1:12" ht="14.45" x14ac:dyDescent="0.3">
      <c r="A7" s="96"/>
      <c r="B7" s="40"/>
      <c r="C7" s="27"/>
      <c r="D7" s="27"/>
      <c r="E7" s="27"/>
      <c r="F7" s="27"/>
      <c r="G7" s="27"/>
      <c r="H7" s="27"/>
      <c r="I7" s="27"/>
      <c r="J7" s="27"/>
      <c r="K7" s="27"/>
      <c r="L7" s="27"/>
    </row>
    <row r="8" spans="1:12" s="130" customFormat="1" ht="45" customHeight="1" x14ac:dyDescent="0.3">
      <c r="A8" s="129" t="s">
        <v>47</v>
      </c>
      <c r="C8" s="131" t="str">
        <f>IF(C3=TRUE,entity1,"")</f>
        <v>Oxbow County</v>
      </c>
      <c r="D8" s="131" t="str">
        <f>IF(D3=TRUE,entity2,"")</f>
        <v>City of Pool</v>
      </c>
      <c r="E8" s="131" t="str">
        <f>IF(E3=TRUE,entity3,"")</f>
        <v>City of Riffle</v>
      </c>
      <c r="F8" s="131" t="str">
        <f>IF(F3=TRUE,entity4,"")</f>
        <v>Wishful Watershed Council</v>
      </c>
      <c r="G8" s="131" t="str">
        <f>IF(G3=TRUE,entity5,"")</f>
        <v>Council of Government</v>
      </c>
      <c r="H8" s="131" t="str">
        <f>IF(H3=TRUE,entity6,"")</f>
        <v>Soil &amp; Water Conservation</v>
      </c>
      <c r="I8" s="131" t="str">
        <f>IF(I3=TRUE,entity7,"")</f>
        <v/>
      </c>
      <c r="J8" s="131" t="str">
        <f>IF(J3=TRUE,entity8,"")</f>
        <v/>
      </c>
      <c r="K8" s="131" t="str">
        <f>IF(K3=TRUE,entity9,"")</f>
        <v/>
      </c>
      <c r="L8" s="131" t="str">
        <f>IF(L3=TRUE,entity10,"")</f>
        <v/>
      </c>
    </row>
    <row r="9" spans="1:12" s="88" customFormat="1" ht="48.75" customHeight="1" x14ac:dyDescent="0.3">
      <c r="A9" s="87"/>
      <c r="C9" s="86" t="str">
        <f>GettingStarted!D8 &amp; "s cannot raise " &amp; PROPER($A$1)</f>
        <v>County Governments cannot raise Water Revenue</v>
      </c>
      <c r="D9" s="86" t="str">
        <f>GettingStarted!D9 &amp; "s cannot raise " &amp; PROPER($A$1)</f>
        <v>Municipal Governments cannot raise Water Revenue</v>
      </c>
      <c r="E9" s="86" t="str">
        <f>GettingStarted!D10 &amp; "s cannot raise " &amp; PROPER($A$1)</f>
        <v>Municipal Governments cannot raise Water Revenue</v>
      </c>
      <c r="F9" s="86" t="str">
        <f>GettingStarted!D11 &amp; "s cannot raise " &amp; PROPER($A$1)</f>
        <v>Watershed Councils cannot raise Water Revenue</v>
      </c>
      <c r="G9" s="86" t="str">
        <f>GettingStarted!D12 &amp; "s cannot raise " &amp; PROPER($A$1)</f>
        <v>Nonprofits cannot raise Water Revenue</v>
      </c>
      <c r="H9" s="86" t="str">
        <f>GettingStarted!D13 &amp; "s cannot raise " &amp; PROPER($A$1)</f>
        <v>Nonprofits cannot raise Water Revenue</v>
      </c>
      <c r="I9" s="86" t="str">
        <f>GettingStarted!D14 &amp; "s cannot raise " &amp; PROPER($A$1)</f>
        <v>s cannot raise Water Revenue</v>
      </c>
      <c r="J9" s="86" t="str">
        <f>GettingStarted!D15 &amp; "s cannot raise " &amp; PROPER($A$1)</f>
        <v>s cannot raise Water Revenue</v>
      </c>
      <c r="K9" s="86" t="str">
        <f>GettingStarted!D16 &amp; "s cannot raise " &amp; PROPER($A$1)</f>
        <v>s cannot raise Water Revenue</v>
      </c>
      <c r="L9" s="86" t="str">
        <f>GettingStarted!D17 &amp; "s cannot raise " &amp; PROPER($A$1)</f>
        <v>s cannot raise Water Revenue</v>
      </c>
    </row>
    <row r="10" spans="1:12" x14ac:dyDescent="0.25">
      <c r="A10" s="158" t="s">
        <v>93</v>
      </c>
      <c r="B10" s="158"/>
    </row>
    <row r="11" spans="1:12" x14ac:dyDescent="0.25">
      <c r="B11" s="6" t="s">
        <v>103</v>
      </c>
      <c r="C11" s="71"/>
      <c r="D11" s="71"/>
      <c r="E11" s="71"/>
      <c r="F11" s="71"/>
      <c r="G11" s="71"/>
      <c r="H11" s="71"/>
      <c r="I11" s="71"/>
      <c r="J11" s="71"/>
      <c r="K11" s="71"/>
      <c r="L11" s="71"/>
    </row>
    <row r="12" spans="1:12" x14ac:dyDescent="0.25">
      <c r="B12" s="6" t="s">
        <v>104</v>
      </c>
      <c r="C12" s="72"/>
      <c r="D12" s="72"/>
      <c r="E12" s="72"/>
      <c r="F12" s="72"/>
      <c r="G12" s="72"/>
      <c r="H12" s="72"/>
      <c r="I12" s="72"/>
      <c r="J12" s="72"/>
      <c r="K12" s="72"/>
      <c r="L12" s="72"/>
    </row>
    <row r="13" spans="1:12" x14ac:dyDescent="0.25">
      <c r="A13" s="36" t="s">
        <v>17</v>
      </c>
      <c r="B13" s="6" t="s">
        <v>105</v>
      </c>
      <c r="C13" s="18"/>
      <c r="D13" s="18"/>
      <c r="E13" s="18"/>
      <c r="F13" s="18"/>
      <c r="G13" s="18"/>
      <c r="H13" s="18"/>
      <c r="I13" s="18"/>
      <c r="J13" s="18"/>
      <c r="K13" s="18"/>
      <c r="L13" s="18"/>
    </row>
    <row r="14" spans="1:12" x14ac:dyDescent="0.25">
      <c r="C14" s="15"/>
      <c r="D14" s="15"/>
      <c r="E14" s="15"/>
      <c r="F14" s="15"/>
      <c r="G14" s="15"/>
      <c r="H14" s="15"/>
      <c r="I14" s="15"/>
      <c r="J14" s="15"/>
      <c r="K14" s="15"/>
      <c r="L14" s="15"/>
    </row>
    <row r="15" spans="1:12" x14ac:dyDescent="0.25">
      <c r="A15" s="40" t="s">
        <v>92</v>
      </c>
      <c r="C15" s="15"/>
      <c r="D15" s="15"/>
      <c r="E15" s="15"/>
      <c r="F15" s="15"/>
      <c r="G15" s="15"/>
      <c r="H15" s="15"/>
      <c r="I15" s="15"/>
      <c r="J15" s="15"/>
      <c r="K15" s="15"/>
      <c r="L15" s="15"/>
    </row>
    <row r="16" spans="1:12" x14ac:dyDescent="0.25">
      <c r="B16" s="6" t="s">
        <v>68</v>
      </c>
      <c r="C16" s="73"/>
      <c r="D16" s="73"/>
      <c r="E16" s="73"/>
      <c r="F16" s="73"/>
      <c r="G16" s="73"/>
      <c r="H16" s="73"/>
      <c r="I16" s="73"/>
      <c r="J16" s="73"/>
      <c r="K16" s="73"/>
      <c r="L16" s="73"/>
    </row>
    <row r="17" spans="1:12" x14ac:dyDescent="0.25">
      <c r="B17" s="6" t="s">
        <v>69</v>
      </c>
      <c r="C17" s="76">
        <f t="shared" ref="C17:L17" si="3">IF(C16="Monthly",12,IF(C16="Bi-Monthly",6,IF(C16="Quarterly","4",0)))</f>
        <v>0</v>
      </c>
      <c r="D17" s="76">
        <f t="shared" si="3"/>
        <v>0</v>
      </c>
      <c r="E17" s="76">
        <f t="shared" si="3"/>
        <v>0</v>
      </c>
      <c r="F17" s="77">
        <f t="shared" si="3"/>
        <v>0</v>
      </c>
      <c r="G17" s="77">
        <f t="shared" si="3"/>
        <v>0</v>
      </c>
      <c r="H17" s="77">
        <f t="shared" si="3"/>
        <v>0</v>
      </c>
      <c r="I17" s="77">
        <f t="shared" si="3"/>
        <v>0</v>
      </c>
      <c r="J17" s="77">
        <f t="shared" si="3"/>
        <v>0</v>
      </c>
      <c r="K17" s="77">
        <f t="shared" si="3"/>
        <v>0</v>
      </c>
      <c r="L17" s="77">
        <f t="shared" si="3"/>
        <v>0</v>
      </c>
    </row>
    <row r="18" spans="1:12" x14ac:dyDescent="0.25">
      <c r="B18" s="6" t="s">
        <v>94</v>
      </c>
      <c r="C18" s="74"/>
      <c r="D18" s="74"/>
      <c r="E18" s="74"/>
      <c r="F18" s="74"/>
      <c r="G18" s="74"/>
      <c r="H18" s="74"/>
      <c r="I18" s="74"/>
      <c r="J18" s="74"/>
      <c r="K18" s="74"/>
      <c r="L18" s="74"/>
    </row>
    <row r="19" spans="1:12" x14ac:dyDescent="0.25">
      <c r="B19" s="6" t="s">
        <v>95</v>
      </c>
      <c r="C19" s="74"/>
      <c r="D19" s="74"/>
      <c r="E19" s="74"/>
      <c r="F19" s="74"/>
      <c r="G19" s="74"/>
      <c r="H19" s="74"/>
      <c r="I19" s="74"/>
      <c r="J19" s="74"/>
      <c r="K19" s="74"/>
      <c r="L19" s="74"/>
    </row>
    <row r="20" spans="1:12" x14ac:dyDescent="0.25">
      <c r="B20" s="6" t="s">
        <v>96</v>
      </c>
      <c r="C20" s="74"/>
      <c r="D20" s="74"/>
      <c r="E20" s="74"/>
      <c r="F20" s="74"/>
      <c r="G20" s="74"/>
      <c r="H20" s="74"/>
      <c r="I20" s="74"/>
      <c r="J20" s="74"/>
      <c r="K20" s="74"/>
      <c r="L20" s="74"/>
    </row>
    <row r="21" spans="1:12" x14ac:dyDescent="0.25">
      <c r="B21" s="6" t="s">
        <v>97</v>
      </c>
      <c r="C21" s="74"/>
      <c r="D21" s="74"/>
      <c r="E21" s="74"/>
      <c r="F21" s="74"/>
      <c r="G21" s="74"/>
      <c r="H21" s="74"/>
      <c r="I21" s="74"/>
      <c r="J21" s="74"/>
      <c r="K21" s="74"/>
      <c r="L21" s="74"/>
    </row>
    <row r="22" spans="1:12" x14ac:dyDescent="0.25">
      <c r="B22" s="6" t="s">
        <v>73</v>
      </c>
      <c r="C22" s="73"/>
      <c r="D22" s="73"/>
      <c r="E22" s="73"/>
      <c r="F22" s="73"/>
      <c r="G22" s="73"/>
      <c r="H22" s="73"/>
      <c r="I22" s="73"/>
      <c r="J22" s="73"/>
      <c r="K22" s="73"/>
      <c r="L22" s="73"/>
    </row>
    <row r="23" spans="1:12" x14ac:dyDescent="0.25">
      <c r="C23" s="15"/>
      <c r="D23" s="15"/>
      <c r="E23" s="15"/>
      <c r="F23" s="15"/>
      <c r="G23" s="15"/>
      <c r="H23" s="15"/>
      <c r="I23" s="15"/>
      <c r="J23" s="15"/>
      <c r="K23" s="15"/>
      <c r="L23" s="15"/>
    </row>
    <row r="24" spans="1:12" x14ac:dyDescent="0.25">
      <c r="A24" s="158" t="s">
        <v>123</v>
      </c>
      <c r="B24" s="158"/>
      <c r="C24" s="15"/>
      <c r="D24" s="15"/>
      <c r="E24" s="15"/>
      <c r="F24" s="15"/>
      <c r="G24" s="15"/>
      <c r="H24" s="15"/>
      <c r="I24" s="15"/>
      <c r="J24" s="15"/>
      <c r="K24" s="15"/>
      <c r="L24" s="15"/>
    </row>
    <row r="25" spans="1:12" x14ac:dyDescent="0.25">
      <c r="B25" s="6" t="s">
        <v>99</v>
      </c>
      <c r="C25" s="71"/>
      <c r="D25" s="71"/>
      <c r="E25" s="71"/>
      <c r="F25" s="71"/>
      <c r="G25" s="71"/>
      <c r="H25" s="71"/>
      <c r="I25" s="71"/>
      <c r="J25" s="71"/>
      <c r="K25" s="71"/>
      <c r="L25" s="71"/>
    </row>
    <row r="26" spans="1:12" x14ac:dyDescent="0.25">
      <c r="B26" s="6" t="s">
        <v>100</v>
      </c>
      <c r="C26" s="71"/>
      <c r="D26" s="71"/>
      <c r="E26" s="71"/>
      <c r="F26" s="71"/>
      <c r="G26" s="71"/>
      <c r="H26" s="71"/>
      <c r="I26" s="71"/>
      <c r="J26" s="71"/>
      <c r="K26" s="71"/>
      <c r="L26" s="71"/>
    </row>
    <row r="27" spans="1:12" x14ac:dyDescent="0.25">
      <c r="B27" s="6" t="s">
        <v>101</v>
      </c>
      <c r="C27" s="71"/>
      <c r="D27" s="71"/>
      <c r="E27" s="71"/>
      <c r="F27" s="71"/>
      <c r="G27" s="71"/>
      <c r="H27" s="71"/>
      <c r="I27" s="71"/>
      <c r="J27" s="71"/>
      <c r="K27" s="71"/>
      <c r="L27" s="71"/>
    </row>
    <row r="28" spans="1:12" x14ac:dyDescent="0.25">
      <c r="B28" s="6" t="s">
        <v>102</v>
      </c>
      <c r="C28" s="71"/>
      <c r="D28" s="71"/>
      <c r="E28" s="71"/>
      <c r="F28" s="71"/>
      <c r="G28" s="71"/>
      <c r="H28" s="71"/>
      <c r="I28" s="71"/>
      <c r="J28" s="71"/>
      <c r="K28" s="71"/>
      <c r="L28" s="71"/>
    </row>
    <row r="29" spans="1:12" x14ac:dyDescent="0.25">
      <c r="C29" s="15"/>
      <c r="D29" s="15"/>
      <c r="E29" s="15"/>
      <c r="F29" s="15"/>
      <c r="G29" s="15"/>
      <c r="H29" s="15"/>
      <c r="I29" s="15"/>
      <c r="J29" s="15"/>
      <c r="K29" s="15"/>
      <c r="L29" s="15"/>
    </row>
    <row r="30" spans="1:12" x14ac:dyDescent="0.25">
      <c r="A30" s="14" t="s">
        <v>124</v>
      </c>
      <c r="C30" s="15"/>
      <c r="D30" s="15"/>
      <c r="E30" s="15"/>
      <c r="F30" s="15"/>
      <c r="G30" s="15"/>
      <c r="H30" s="15"/>
      <c r="I30" s="15"/>
      <c r="J30" s="15"/>
      <c r="K30" s="15"/>
      <c r="L30" s="15"/>
    </row>
    <row r="31" spans="1:12" x14ac:dyDescent="0.25">
      <c r="A31" s="35"/>
      <c r="B31" s="42" t="s">
        <v>107</v>
      </c>
      <c r="C31" s="75"/>
      <c r="D31" s="75"/>
      <c r="E31" s="75"/>
      <c r="F31" s="75"/>
      <c r="G31" s="75"/>
      <c r="H31" s="75"/>
      <c r="I31" s="75"/>
      <c r="J31" s="75"/>
      <c r="K31" s="75"/>
      <c r="L31" s="75"/>
    </row>
    <row r="32" spans="1:12" x14ac:dyDescent="0.25">
      <c r="B32" s="43" t="s">
        <v>106</v>
      </c>
      <c r="C32" s="75"/>
      <c r="D32" s="75"/>
      <c r="E32" s="75"/>
      <c r="F32" s="75"/>
      <c r="G32" s="75"/>
      <c r="H32" s="75"/>
      <c r="I32" s="75"/>
      <c r="J32" s="75"/>
      <c r="K32" s="75"/>
      <c r="L32" s="75"/>
    </row>
    <row r="33" spans="1:12" x14ac:dyDescent="0.25">
      <c r="A33" s="14"/>
      <c r="B33" s="42" t="s">
        <v>128</v>
      </c>
      <c r="C33" s="71"/>
      <c r="D33" s="71"/>
      <c r="E33" s="71"/>
      <c r="F33" s="71"/>
      <c r="G33" s="71"/>
      <c r="H33" s="71"/>
      <c r="I33" s="71"/>
      <c r="J33" s="71"/>
      <c r="K33" s="71"/>
      <c r="L33" s="71"/>
    </row>
    <row r="34" spans="1:12" x14ac:dyDescent="0.25">
      <c r="A34" s="12"/>
      <c r="C34" s="18"/>
      <c r="D34" s="18"/>
      <c r="E34" s="18"/>
      <c r="F34" s="18"/>
      <c r="G34" s="18"/>
      <c r="H34" s="18"/>
      <c r="I34" s="18"/>
      <c r="J34" s="18"/>
      <c r="K34" s="18"/>
      <c r="L34" s="18"/>
    </row>
    <row r="35" spans="1:12" x14ac:dyDescent="0.25">
      <c r="B35" s="42" t="s">
        <v>108</v>
      </c>
      <c r="C35" s="75"/>
      <c r="D35" s="75"/>
      <c r="E35" s="75"/>
      <c r="F35" s="75"/>
      <c r="G35" s="75"/>
      <c r="H35" s="75"/>
      <c r="I35" s="75"/>
      <c r="J35" s="75"/>
      <c r="K35" s="75"/>
      <c r="L35" s="75"/>
    </row>
    <row r="36" spans="1:12" x14ac:dyDescent="0.25">
      <c r="B36" s="43" t="s">
        <v>109</v>
      </c>
      <c r="C36" s="75"/>
      <c r="D36" s="75"/>
      <c r="E36" s="75"/>
      <c r="F36" s="75"/>
      <c r="G36" s="75"/>
      <c r="H36" s="75"/>
      <c r="I36" s="75"/>
      <c r="J36" s="75"/>
      <c r="K36" s="75"/>
      <c r="L36" s="75"/>
    </row>
    <row r="37" spans="1:12" x14ac:dyDescent="0.25">
      <c r="B37" s="42" t="s">
        <v>129</v>
      </c>
      <c r="C37" s="71"/>
      <c r="D37" s="71"/>
      <c r="E37" s="71"/>
      <c r="F37" s="71"/>
      <c r="G37" s="71"/>
      <c r="H37" s="71"/>
      <c r="I37" s="71"/>
      <c r="J37" s="71"/>
      <c r="K37" s="71"/>
      <c r="L37" s="71"/>
    </row>
    <row r="38" spans="1:12" x14ac:dyDescent="0.25">
      <c r="C38" s="15"/>
      <c r="D38" s="15"/>
      <c r="E38" s="15"/>
      <c r="F38" s="15"/>
      <c r="G38" s="15"/>
      <c r="H38" s="15"/>
      <c r="I38" s="15"/>
      <c r="J38" s="15"/>
      <c r="K38" s="15"/>
      <c r="L38" s="15"/>
    </row>
    <row r="39" spans="1:12" x14ac:dyDescent="0.25">
      <c r="B39" s="42" t="s">
        <v>110</v>
      </c>
      <c r="C39" s="41"/>
      <c r="D39" s="41"/>
      <c r="E39" s="41"/>
      <c r="F39" s="41"/>
      <c r="G39" s="41"/>
      <c r="H39" s="41"/>
      <c r="I39" s="41"/>
      <c r="J39" s="41"/>
      <c r="K39" s="41"/>
      <c r="L39" s="41"/>
    </row>
    <row r="40" spans="1:12" x14ac:dyDescent="0.25">
      <c r="B40" s="43" t="s">
        <v>111</v>
      </c>
      <c r="C40" s="41"/>
      <c r="D40" s="41"/>
      <c r="E40" s="41"/>
      <c r="F40" s="41"/>
      <c r="G40" s="41"/>
      <c r="H40" s="41"/>
      <c r="I40" s="41"/>
      <c r="J40" s="41"/>
      <c r="K40" s="41"/>
      <c r="L40" s="41"/>
    </row>
    <row r="41" spans="1:12" x14ac:dyDescent="0.25">
      <c r="B41" s="42" t="s">
        <v>130</v>
      </c>
      <c r="C41" s="18"/>
      <c r="D41" s="18"/>
      <c r="E41" s="18"/>
      <c r="F41" s="18"/>
      <c r="G41" s="18"/>
      <c r="H41" s="18"/>
      <c r="I41" s="18"/>
      <c r="J41" s="18"/>
      <c r="K41" s="18"/>
      <c r="L41" s="18"/>
    </row>
    <row r="42" spans="1:12" x14ac:dyDescent="0.25">
      <c r="C42" s="15"/>
      <c r="D42" s="15"/>
      <c r="E42" s="15"/>
      <c r="F42" s="15"/>
      <c r="G42" s="15"/>
      <c r="H42" s="15"/>
      <c r="I42" s="15"/>
      <c r="J42" s="15"/>
      <c r="K42" s="15"/>
      <c r="L42" s="15"/>
    </row>
    <row r="43" spans="1:12" x14ac:dyDescent="0.25">
      <c r="B43" s="42" t="s">
        <v>112</v>
      </c>
      <c r="C43" s="75"/>
      <c r="D43" s="75"/>
      <c r="E43" s="75"/>
      <c r="F43" s="75"/>
      <c r="G43" s="75"/>
      <c r="H43" s="75"/>
      <c r="I43" s="75"/>
      <c r="J43" s="75"/>
      <c r="K43" s="75"/>
      <c r="L43" s="75"/>
    </row>
    <row r="44" spans="1:12" x14ac:dyDescent="0.25">
      <c r="B44" s="43" t="s">
        <v>113</v>
      </c>
      <c r="C44" s="75"/>
      <c r="D44" s="75"/>
      <c r="E44" s="75"/>
      <c r="F44" s="75"/>
      <c r="G44" s="75"/>
      <c r="H44" s="75"/>
      <c r="I44" s="75"/>
      <c r="J44" s="75"/>
      <c r="K44" s="75"/>
      <c r="L44" s="75"/>
    </row>
    <row r="45" spans="1:12" x14ac:dyDescent="0.25">
      <c r="B45" s="42" t="s">
        <v>131</v>
      </c>
      <c r="C45" s="71"/>
      <c r="D45" s="71"/>
      <c r="E45" s="71"/>
      <c r="F45" s="71"/>
      <c r="G45" s="71"/>
      <c r="H45" s="71"/>
      <c r="I45" s="71"/>
      <c r="J45" s="71"/>
      <c r="K45" s="71"/>
      <c r="L45" s="71"/>
    </row>
    <row r="47" spans="1:12" x14ac:dyDescent="0.25">
      <c r="B47" s="159" t="s">
        <v>132</v>
      </c>
    </row>
    <row r="48" spans="1:12" x14ac:dyDescent="0.25">
      <c r="B48" s="159"/>
    </row>
    <row r="49" spans="2:2" x14ac:dyDescent="0.25">
      <c r="B49" s="159"/>
    </row>
  </sheetData>
  <sheetProtection password="9D10" sheet="1" objects="1" scenarios="1" selectLockedCells="1"/>
  <mergeCells count="3">
    <mergeCell ref="A10:B10"/>
    <mergeCell ref="A24:B24"/>
    <mergeCell ref="B47:B49"/>
  </mergeCells>
  <conditionalFormatting sqref="C11">
    <cfRule type="expression" dxfId="794" priority="207">
      <formula>C$5</formula>
    </cfRule>
  </conditionalFormatting>
  <conditionalFormatting sqref="C12:C13">
    <cfRule type="expression" dxfId="793" priority="206">
      <formula>C$5</formula>
    </cfRule>
  </conditionalFormatting>
  <conditionalFormatting sqref="C17">
    <cfRule type="expression" dxfId="792" priority="205">
      <formula>C$5</formula>
    </cfRule>
  </conditionalFormatting>
  <conditionalFormatting sqref="C31:C33">
    <cfRule type="expression" dxfId="791" priority="203">
      <formula>C$5</formula>
    </cfRule>
  </conditionalFormatting>
  <conditionalFormatting sqref="C35:C37">
    <cfRule type="expression" dxfId="790" priority="202">
      <formula>C$5</formula>
    </cfRule>
  </conditionalFormatting>
  <conditionalFormatting sqref="C39:C41">
    <cfRule type="expression" dxfId="789" priority="201">
      <formula>C$5</formula>
    </cfRule>
  </conditionalFormatting>
  <conditionalFormatting sqref="C43:C45">
    <cfRule type="expression" dxfId="788" priority="200">
      <formula>C$5</formula>
    </cfRule>
  </conditionalFormatting>
  <conditionalFormatting sqref="C16">
    <cfRule type="expression" dxfId="787" priority="199">
      <formula>C$5</formula>
    </cfRule>
  </conditionalFormatting>
  <conditionalFormatting sqref="C18">
    <cfRule type="expression" dxfId="786" priority="198">
      <formula>C$5</formula>
    </cfRule>
  </conditionalFormatting>
  <conditionalFormatting sqref="C19">
    <cfRule type="expression" dxfId="785" priority="197">
      <formula>C$5</formula>
    </cfRule>
  </conditionalFormatting>
  <conditionalFormatting sqref="C20">
    <cfRule type="expression" dxfId="784" priority="196">
      <formula>C$5</formula>
    </cfRule>
  </conditionalFormatting>
  <conditionalFormatting sqref="C21">
    <cfRule type="expression" dxfId="783" priority="195">
      <formula>C$5</formula>
    </cfRule>
  </conditionalFormatting>
  <conditionalFormatting sqref="C22">
    <cfRule type="expression" dxfId="782" priority="194">
      <formula>C$5</formula>
    </cfRule>
  </conditionalFormatting>
  <conditionalFormatting sqref="C25">
    <cfRule type="expression" dxfId="781" priority="193">
      <formula>C$5</formula>
    </cfRule>
  </conditionalFormatting>
  <conditionalFormatting sqref="C26">
    <cfRule type="expression" dxfId="780" priority="192">
      <formula>C$5</formula>
    </cfRule>
  </conditionalFormatting>
  <conditionalFormatting sqref="C27">
    <cfRule type="expression" dxfId="779" priority="191">
      <formula>C$5</formula>
    </cfRule>
  </conditionalFormatting>
  <conditionalFormatting sqref="C28">
    <cfRule type="expression" dxfId="778" priority="190">
      <formula>C$5</formula>
    </cfRule>
  </conditionalFormatting>
  <conditionalFormatting sqref="D11">
    <cfRule type="expression" dxfId="777" priority="189">
      <formula>D$5</formula>
    </cfRule>
  </conditionalFormatting>
  <conditionalFormatting sqref="D12:D13">
    <cfRule type="expression" dxfId="776" priority="188">
      <formula>D$5</formula>
    </cfRule>
  </conditionalFormatting>
  <conditionalFormatting sqref="D31:D33">
    <cfRule type="expression" dxfId="775" priority="186">
      <formula>D$5</formula>
    </cfRule>
  </conditionalFormatting>
  <conditionalFormatting sqref="D35:D37">
    <cfRule type="expression" dxfId="774" priority="185">
      <formula>D$5</formula>
    </cfRule>
  </conditionalFormatting>
  <conditionalFormatting sqref="D39:D41">
    <cfRule type="expression" dxfId="773" priority="184">
      <formula>D$5</formula>
    </cfRule>
  </conditionalFormatting>
  <conditionalFormatting sqref="D43:D45">
    <cfRule type="expression" dxfId="772" priority="183">
      <formula>D$5</formula>
    </cfRule>
  </conditionalFormatting>
  <conditionalFormatting sqref="D16">
    <cfRule type="expression" dxfId="771" priority="182">
      <formula>D$5</formula>
    </cfRule>
  </conditionalFormatting>
  <conditionalFormatting sqref="D18">
    <cfRule type="expression" dxfId="770" priority="181">
      <formula>D$5</formula>
    </cfRule>
  </conditionalFormatting>
  <conditionalFormatting sqref="D19">
    <cfRule type="expression" dxfId="769" priority="180">
      <formula>D$5</formula>
    </cfRule>
  </conditionalFormatting>
  <conditionalFormatting sqref="D20">
    <cfRule type="expression" dxfId="768" priority="179">
      <formula>D$5</formula>
    </cfRule>
  </conditionalFormatting>
  <conditionalFormatting sqref="D21">
    <cfRule type="expression" dxfId="767" priority="178">
      <formula>D$5</formula>
    </cfRule>
  </conditionalFormatting>
  <conditionalFormatting sqref="D22">
    <cfRule type="expression" dxfId="766" priority="177">
      <formula>D$5</formula>
    </cfRule>
  </conditionalFormatting>
  <conditionalFormatting sqref="D25">
    <cfRule type="expression" dxfId="765" priority="176">
      <formula>D$5</formula>
    </cfRule>
  </conditionalFormatting>
  <conditionalFormatting sqref="D26">
    <cfRule type="expression" dxfId="764" priority="175">
      <formula>D$5</formula>
    </cfRule>
  </conditionalFormatting>
  <conditionalFormatting sqref="D27">
    <cfRule type="expression" dxfId="763" priority="174">
      <formula>D$5</formula>
    </cfRule>
  </conditionalFormatting>
  <conditionalFormatting sqref="D28">
    <cfRule type="expression" dxfId="762" priority="173">
      <formula>D$5</formula>
    </cfRule>
  </conditionalFormatting>
  <conditionalFormatting sqref="E11">
    <cfRule type="expression" dxfId="761" priority="172">
      <formula>E$5</formula>
    </cfRule>
  </conditionalFormatting>
  <conditionalFormatting sqref="E12:E13">
    <cfRule type="expression" dxfId="760" priority="171">
      <formula>E$5</formula>
    </cfRule>
  </conditionalFormatting>
  <conditionalFormatting sqref="E31:E33">
    <cfRule type="expression" dxfId="759" priority="169">
      <formula>E$5</formula>
    </cfRule>
  </conditionalFormatting>
  <conditionalFormatting sqref="E35:E37">
    <cfRule type="expression" dxfId="758" priority="168">
      <formula>E$5</formula>
    </cfRule>
  </conditionalFormatting>
  <conditionalFormatting sqref="E39:E41">
    <cfRule type="expression" dxfId="757" priority="167">
      <formula>E$5</formula>
    </cfRule>
  </conditionalFormatting>
  <conditionalFormatting sqref="E43:E45">
    <cfRule type="expression" dxfId="756" priority="166">
      <formula>E$5</formula>
    </cfRule>
  </conditionalFormatting>
  <conditionalFormatting sqref="E16">
    <cfRule type="expression" dxfId="755" priority="165">
      <formula>E$5</formula>
    </cfRule>
  </conditionalFormatting>
  <conditionalFormatting sqref="E18">
    <cfRule type="expression" dxfId="754" priority="164">
      <formula>E$5</formula>
    </cfRule>
  </conditionalFormatting>
  <conditionalFormatting sqref="E19">
    <cfRule type="expression" dxfId="753" priority="163">
      <formula>E$5</formula>
    </cfRule>
  </conditionalFormatting>
  <conditionalFormatting sqref="E20">
    <cfRule type="expression" dxfId="752" priority="162">
      <formula>E$5</formula>
    </cfRule>
  </conditionalFormatting>
  <conditionalFormatting sqref="E21">
    <cfRule type="expression" dxfId="751" priority="161">
      <formula>E$5</formula>
    </cfRule>
  </conditionalFormatting>
  <conditionalFormatting sqref="E22">
    <cfRule type="expression" dxfId="750" priority="160">
      <formula>E$5</formula>
    </cfRule>
  </conditionalFormatting>
  <conditionalFormatting sqref="E25">
    <cfRule type="expression" dxfId="749" priority="159">
      <formula>E$5</formula>
    </cfRule>
  </conditionalFormatting>
  <conditionalFormatting sqref="E26">
    <cfRule type="expression" dxfId="748" priority="158">
      <formula>E$5</formula>
    </cfRule>
  </conditionalFormatting>
  <conditionalFormatting sqref="E27">
    <cfRule type="expression" dxfId="747" priority="157">
      <formula>E$5</formula>
    </cfRule>
  </conditionalFormatting>
  <conditionalFormatting sqref="E28">
    <cfRule type="expression" dxfId="746" priority="156">
      <formula>E$5</formula>
    </cfRule>
  </conditionalFormatting>
  <conditionalFormatting sqref="F11">
    <cfRule type="expression" dxfId="745" priority="155">
      <formula>F$5</formula>
    </cfRule>
  </conditionalFormatting>
  <conditionalFormatting sqref="F12:F13">
    <cfRule type="expression" dxfId="744" priority="154">
      <formula>F$5</formula>
    </cfRule>
  </conditionalFormatting>
  <conditionalFormatting sqref="F31:F33">
    <cfRule type="expression" dxfId="743" priority="152">
      <formula>F$5</formula>
    </cfRule>
  </conditionalFormatting>
  <conditionalFormatting sqref="F35:F37">
    <cfRule type="expression" dxfId="742" priority="151">
      <formula>F$5</formula>
    </cfRule>
  </conditionalFormatting>
  <conditionalFormatting sqref="F39:F41">
    <cfRule type="expression" dxfId="741" priority="150">
      <formula>F$5</formula>
    </cfRule>
  </conditionalFormatting>
  <conditionalFormatting sqref="F43:F45">
    <cfRule type="expression" dxfId="740" priority="149">
      <formula>F$5</formula>
    </cfRule>
  </conditionalFormatting>
  <conditionalFormatting sqref="F16">
    <cfRule type="expression" dxfId="739" priority="148">
      <formula>F$5</formula>
    </cfRule>
  </conditionalFormatting>
  <conditionalFormatting sqref="F18">
    <cfRule type="expression" dxfId="738" priority="147">
      <formula>F$5</formula>
    </cfRule>
  </conditionalFormatting>
  <conditionalFormatting sqref="F19">
    <cfRule type="expression" dxfId="737" priority="146">
      <formula>F$5</formula>
    </cfRule>
  </conditionalFormatting>
  <conditionalFormatting sqref="F20">
    <cfRule type="expression" dxfId="736" priority="145">
      <formula>F$5</formula>
    </cfRule>
  </conditionalFormatting>
  <conditionalFormatting sqref="F21">
    <cfRule type="expression" dxfId="735" priority="144">
      <formula>F$5</formula>
    </cfRule>
  </conditionalFormatting>
  <conditionalFormatting sqref="F22">
    <cfRule type="expression" dxfId="734" priority="143">
      <formula>F$5</formula>
    </cfRule>
  </conditionalFormatting>
  <conditionalFormatting sqref="F25">
    <cfRule type="expression" dxfId="733" priority="142">
      <formula>F$5</formula>
    </cfRule>
  </conditionalFormatting>
  <conditionalFormatting sqref="F26">
    <cfRule type="expression" dxfId="732" priority="141">
      <formula>F$5</formula>
    </cfRule>
  </conditionalFormatting>
  <conditionalFormatting sqref="F27">
    <cfRule type="expression" dxfId="731" priority="140">
      <formula>F$5</formula>
    </cfRule>
  </conditionalFormatting>
  <conditionalFormatting sqref="F28">
    <cfRule type="expression" dxfId="730" priority="139">
      <formula>F$5</formula>
    </cfRule>
  </conditionalFormatting>
  <conditionalFormatting sqref="G11">
    <cfRule type="expression" dxfId="729" priority="138">
      <formula>G$5</formula>
    </cfRule>
  </conditionalFormatting>
  <conditionalFormatting sqref="G12:G13">
    <cfRule type="expression" dxfId="728" priority="137">
      <formula>G$5</formula>
    </cfRule>
  </conditionalFormatting>
  <conditionalFormatting sqref="G31:G33">
    <cfRule type="expression" dxfId="727" priority="135">
      <formula>G$5</formula>
    </cfRule>
  </conditionalFormatting>
  <conditionalFormatting sqref="G35:G37">
    <cfRule type="expression" dxfId="726" priority="134">
      <formula>G$5</formula>
    </cfRule>
  </conditionalFormatting>
  <conditionalFormatting sqref="G39:G41">
    <cfRule type="expression" dxfId="725" priority="133">
      <formula>G$5</formula>
    </cfRule>
  </conditionalFormatting>
  <conditionalFormatting sqref="G43:G45">
    <cfRule type="expression" dxfId="724" priority="132">
      <formula>G$5</formula>
    </cfRule>
  </conditionalFormatting>
  <conditionalFormatting sqref="G16">
    <cfRule type="expression" dxfId="723" priority="131">
      <formula>G$5</formula>
    </cfRule>
  </conditionalFormatting>
  <conditionalFormatting sqref="G18">
    <cfRule type="expression" dxfId="722" priority="130">
      <formula>G$5</formula>
    </cfRule>
  </conditionalFormatting>
  <conditionalFormatting sqref="G19">
    <cfRule type="expression" dxfId="721" priority="129">
      <formula>G$5</formula>
    </cfRule>
  </conditionalFormatting>
  <conditionalFormatting sqref="G20">
    <cfRule type="expression" dxfId="720" priority="128">
      <formula>G$5</formula>
    </cfRule>
  </conditionalFormatting>
  <conditionalFormatting sqref="G21">
    <cfRule type="expression" dxfId="719" priority="127">
      <formula>G$5</formula>
    </cfRule>
  </conditionalFormatting>
  <conditionalFormatting sqref="G22">
    <cfRule type="expression" dxfId="718" priority="126">
      <formula>G$5</formula>
    </cfRule>
  </conditionalFormatting>
  <conditionalFormatting sqref="G25">
    <cfRule type="expression" dxfId="717" priority="125">
      <formula>G$5</formula>
    </cfRule>
  </conditionalFormatting>
  <conditionalFormatting sqref="G26">
    <cfRule type="expression" dxfId="716" priority="124">
      <formula>G$5</formula>
    </cfRule>
  </conditionalFormatting>
  <conditionalFormatting sqref="G27">
    <cfRule type="expression" dxfId="715" priority="123">
      <formula>G$5</formula>
    </cfRule>
  </conditionalFormatting>
  <conditionalFormatting sqref="G28">
    <cfRule type="expression" dxfId="714" priority="122">
      <formula>G$5</formula>
    </cfRule>
  </conditionalFormatting>
  <conditionalFormatting sqref="H11">
    <cfRule type="expression" dxfId="713" priority="121">
      <formula>H$5</formula>
    </cfRule>
  </conditionalFormatting>
  <conditionalFormatting sqref="H12:H13">
    <cfRule type="expression" dxfId="712" priority="120">
      <formula>H$5</formula>
    </cfRule>
  </conditionalFormatting>
  <conditionalFormatting sqref="H31:H33">
    <cfRule type="expression" dxfId="711" priority="118">
      <formula>H$5</formula>
    </cfRule>
  </conditionalFormatting>
  <conditionalFormatting sqref="H35:H37">
    <cfRule type="expression" dxfId="710" priority="117">
      <formula>H$5</formula>
    </cfRule>
  </conditionalFormatting>
  <conditionalFormatting sqref="H39:H41">
    <cfRule type="expression" dxfId="709" priority="116">
      <formula>H$5</formula>
    </cfRule>
  </conditionalFormatting>
  <conditionalFormatting sqref="H43:H45">
    <cfRule type="expression" dxfId="708" priority="115">
      <formula>H$5</formula>
    </cfRule>
  </conditionalFormatting>
  <conditionalFormatting sqref="H16">
    <cfRule type="expression" dxfId="707" priority="114">
      <formula>H$5</formula>
    </cfRule>
  </conditionalFormatting>
  <conditionalFormatting sqref="H18">
    <cfRule type="expression" dxfId="706" priority="113">
      <formula>H$5</formula>
    </cfRule>
  </conditionalFormatting>
  <conditionalFormatting sqref="H19">
    <cfRule type="expression" dxfId="705" priority="112">
      <formula>H$5</formula>
    </cfRule>
  </conditionalFormatting>
  <conditionalFormatting sqref="H20">
    <cfRule type="expression" dxfId="704" priority="111">
      <formula>H$5</formula>
    </cfRule>
  </conditionalFormatting>
  <conditionalFormatting sqref="H21">
    <cfRule type="expression" dxfId="703" priority="110">
      <formula>H$5</formula>
    </cfRule>
  </conditionalFormatting>
  <conditionalFormatting sqref="H22">
    <cfRule type="expression" dxfId="702" priority="109">
      <formula>H$5</formula>
    </cfRule>
  </conditionalFormatting>
  <conditionalFormatting sqref="H25">
    <cfRule type="expression" dxfId="701" priority="108">
      <formula>H$5</formula>
    </cfRule>
  </conditionalFormatting>
  <conditionalFormatting sqref="H26">
    <cfRule type="expression" dxfId="700" priority="107">
      <formula>H$5</formula>
    </cfRule>
  </conditionalFormatting>
  <conditionalFormatting sqref="H27">
    <cfRule type="expression" dxfId="699" priority="106">
      <formula>H$5</formula>
    </cfRule>
  </conditionalFormatting>
  <conditionalFormatting sqref="H28">
    <cfRule type="expression" dxfId="698" priority="105">
      <formula>H$5</formula>
    </cfRule>
  </conditionalFormatting>
  <conditionalFormatting sqref="I11">
    <cfRule type="expression" dxfId="697" priority="104">
      <formula>I$5</formula>
    </cfRule>
  </conditionalFormatting>
  <conditionalFormatting sqref="I12:I13">
    <cfRule type="expression" dxfId="696" priority="103">
      <formula>I$5</formula>
    </cfRule>
  </conditionalFormatting>
  <conditionalFormatting sqref="I31:I33">
    <cfRule type="expression" dxfId="695" priority="101">
      <formula>I$5</formula>
    </cfRule>
  </conditionalFormatting>
  <conditionalFormatting sqref="I35:I37">
    <cfRule type="expression" dxfId="694" priority="100">
      <formula>I$5</formula>
    </cfRule>
  </conditionalFormatting>
  <conditionalFormatting sqref="I39:I41">
    <cfRule type="expression" dxfId="693" priority="99">
      <formula>I$5</formula>
    </cfRule>
  </conditionalFormatting>
  <conditionalFormatting sqref="I43:I45">
    <cfRule type="expression" dxfId="692" priority="98">
      <formula>I$5</formula>
    </cfRule>
  </conditionalFormatting>
  <conditionalFormatting sqref="I16">
    <cfRule type="expression" dxfId="691" priority="97">
      <formula>I$5</formula>
    </cfRule>
  </conditionalFormatting>
  <conditionalFormatting sqref="I18">
    <cfRule type="expression" dxfId="690" priority="96">
      <formula>I$5</formula>
    </cfRule>
  </conditionalFormatting>
  <conditionalFormatting sqref="I19">
    <cfRule type="expression" dxfId="689" priority="95">
      <formula>I$5</formula>
    </cfRule>
  </conditionalFormatting>
  <conditionalFormatting sqref="I20">
    <cfRule type="expression" dxfId="688" priority="94">
      <formula>I$5</formula>
    </cfRule>
  </conditionalFormatting>
  <conditionalFormatting sqref="I21">
    <cfRule type="expression" dxfId="687" priority="93">
      <formula>I$5</formula>
    </cfRule>
  </conditionalFormatting>
  <conditionalFormatting sqref="I22">
    <cfRule type="expression" dxfId="686" priority="92">
      <formula>I$5</formula>
    </cfRule>
  </conditionalFormatting>
  <conditionalFormatting sqref="I25">
    <cfRule type="expression" dxfId="685" priority="91">
      <formula>I$5</formula>
    </cfRule>
  </conditionalFormatting>
  <conditionalFormatting sqref="I26">
    <cfRule type="expression" dxfId="684" priority="90">
      <formula>I$5</formula>
    </cfRule>
  </conditionalFormatting>
  <conditionalFormatting sqref="I27">
    <cfRule type="expression" dxfId="683" priority="89">
      <formula>I$5</formula>
    </cfRule>
  </conditionalFormatting>
  <conditionalFormatting sqref="I28">
    <cfRule type="expression" dxfId="682" priority="88">
      <formula>I$5</formula>
    </cfRule>
  </conditionalFormatting>
  <conditionalFormatting sqref="J11">
    <cfRule type="expression" dxfId="681" priority="87">
      <formula>J$5</formula>
    </cfRule>
  </conditionalFormatting>
  <conditionalFormatting sqref="J12:J13">
    <cfRule type="expression" dxfId="680" priority="86">
      <formula>J$5</formula>
    </cfRule>
  </conditionalFormatting>
  <conditionalFormatting sqref="J31:J33">
    <cfRule type="expression" dxfId="679" priority="84">
      <formula>J$5</formula>
    </cfRule>
  </conditionalFormatting>
  <conditionalFormatting sqref="J35:J37">
    <cfRule type="expression" dxfId="678" priority="83">
      <formula>J$5</formula>
    </cfRule>
  </conditionalFormatting>
  <conditionalFormatting sqref="J39:J41">
    <cfRule type="expression" dxfId="677" priority="82">
      <formula>J$5</formula>
    </cfRule>
  </conditionalFormatting>
  <conditionalFormatting sqref="J43:J45">
    <cfRule type="expression" dxfId="676" priority="81">
      <formula>J$5</formula>
    </cfRule>
  </conditionalFormatting>
  <conditionalFormatting sqref="J16">
    <cfRule type="expression" dxfId="675" priority="80">
      <formula>J$5</formula>
    </cfRule>
  </conditionalFormatting>
  <conditionalFormatting sqref="J18">
    <cfRule type="expression" dxfId="674" priority="79">
      <formula>J$5</formula>
    </cfRule>
  </conditionalFormatting>
  <conditionalFormatting sqref="J19">
    <cfRule type="expression" dxfId="673" priority="78">
      <formula>J$5</formula>
    </cfRule>
  </conditionalFormatting>
  <conditionalFormatting sqref="J20">
    <cfRule type="expression" dxfId="672" priority="77">
      <formula>J$5</formula>
    </cfRule>
  </conditionalFormatting>
  <conditionalFormatting sqref="J21">
    <cfRule type="expression" dxfId="671" priority="76">
      <formula>J$5</formula>
    </cfRule>
  </conditionalFormatting>
  <conditionalFormatting sqref="J22">
    <cfRule type="expression" dxfId="670" priority="75">
      <formula>J$5</formula>
    </cfRule>
  </conditionalFormatting>
  <conditionalFormatting sqref="J25">
    <cfRule type="expression" dxfId="669" priority="74">
      <formula>J$5</formula>
    </cfRule>
  </conditionalFormatting>
  <conditionalFormatting sqref="J26">
    <cfRule type="expression" dxfId="668" priority="73">
      <formula>J$5</formula>
    </cfRule>
  </conditionalFormatting>
  <conditionalFormatting sqref="J27">
    <cfRule type="expression" dxfId="667" priority="72">
      <formula>J$5</formula>
    </cfRule>
  </conditionalFormatting>
  <conditionalFormatting sqref="J28">
    <cfRule type="expression" dxfId="666" priority="71">
      <formula>J$5</formula>
    </cfRule>
  </conditionalFormatting>
  <conditionalFormatting sqref="K11">
    <cfRule type="expression" dxfId="665" priority="70">
      <formula>K$5</formula>
    </cfRule>
  </conditionalFormatting>
  <conditionalFormatting sqref="K12:K13">
    <cfRule type="expression" dxfId="664" priority="69">
      <formula>K$5</formula>
    </cfRule>
  </conditionalFormatting>
  <conditionalFormatting sqref="K31:K33">
    <cfRule type="expression" dxfId="663" priority="67">
      <formula>K$5</formula>
    </cfRule>
  </conditionalFormatting>
  <conditionalFormatting sqref="K35:K37">
    <cfRule type="expression" dxfId="662" priority="66">
      <formula>K$5</formula>
    </cfRule>
  </conditionalFormatting>
  <conditionalFormatting sqref="K39:K41">
    <cfRule type="expression" dxfId="661" priority="65">
      <formula>K$5</formula>
    </cfRule>
  </conditionalFormatting>
  <conditionalFormatting sqref="K43:K45">
    <cfRule type="expression" dxfId="660" priority="64">
      <formula>K$5</formula>
    </cfRule>
  </conditionalFormatting>
  <conditionalFormatting sqref="K16">
    <cfRule type="expression" dxfId="659" priority="63">
      <formula>K$5</formula>
    </cfRule>
  </conditionalFormatting>
  <conditionalFormatting sqref="K18">
    <cfRule type="expression" dxfId="658" priority="62">
      <formula>K$5</formula>
    </cfRule>
  </conditionalFormatting>
  <conditionalFormatting sqref="K19">
    <cfRule type="expression" dxfId="657" priority="61">
      <formula>K$5</formula>
    </cfRule>
  </conditionalFormatting>
  <conditionalFormatting sqref="K20">
    <cfRule type="expression" dxfId="656" priority="60">
      <formula>K$5</formula>
    </cfRule>
  </conditionalFormatting>
  <conditionalFormatting sqref="K21">
    <cfRule type="expression" dxfId="655" priority="59">
      <formula>K$5</formula>
    </cfRule>
  </conditionalFormatting>
  <conditionalFormatting sqref="K22">
    <cfRule type="expression" dxfId="654" priority="58">
      <formula>K$5</formula>
    </cfRule>
  </conditionalFormatting>
  <conditionalFormatting sqref="K25">
    <cfRule type="expression" dxfId="653" priority="57">
      <formula>K$5</formula>
    </cfRule>
  </conditionalFormatting>
  <conditionalFormatting sqref="K26">
    <cfRule type="expression" dxfId="652" priority="56">
      <formula>K$5</formula>
    </cfRule>
  </conditionalFormatting>
  <conditionalFormatting sqref="K27">
    <cfRule type="expression" dxfId="651" priority="55">
      <formula>K$5</formula>
    </cfRule>
  </conditionalFormatting>
  <conditionalFormatting sqref="K28">
    <cfRule type="expression" dxfId="650" priority="54">
      <formula>K$5</formula>
    </cfRule>
  </conditionalFormatting>
  <conditionalFormatting sqref="L11">
    <cfRule type="expression" dxfId="649" priority="53">
      <formula>L$5</formula>
    </cfRule>
  </conditionalFormatting>
  <conditionalFormatting sqref="L12:L13">
    <cfRule type="expression" dxfId="648" priority="52">
      <formula>L$5</formula>
    </cfRule>
  </conditionalFormatting>
  <conditionalFormatting sqref="L31:L33">
    <cfRule type="expression" dxfId="647" priority="50">
      <formula>L$5</formula>
    </cfRule>
  </conditionalFormatting>
  <conditionalFormatting sqref="L35:L37">
    <cfRule type="expression" dxfId="646" priority="49">
      <formula>L$5</formula>
    </cfRule>
  </conditionalFormatting>
  <conditionalFormatting sqref="L39:L41">
    <cfRule type="expression" dxfId="645" priority="48">
      <formula>L$5</formula>
    </cfRule>
  </conditionalFormatting>
  <conditionalFormatting sqref="L43:L45">
    <cfRule type="expression" dxfId="644" priority="47">
      <formula>L$5</formula>
    </cfRule>
  </conditionalFormatting>
  <conditionalFormatting sqref="L16">
    <cfRule type="expression" dxfId="643" priority="46">
      <formula>L$5</formula>
    </cfRule>
  </conditionalFormatting>
  <conditionalFormatting sqref="L18">
    <cfRule type="expression" dxfId="642" priority="45">
      <formula>L$5</formula>
    </cfRule>
  </conditionalFormatting>
  <conditionalFormatting sqref="L19">
    <cfRule type="expression" dxfId="641" priority="44">
      <formula>L$5</formula>
    </cfRule>
  </conditionalFormatting>
  <conditionalFormatting sqref="L20">
    <cfRule type="expression" dxfId="640" priority="43">
      <formula>L$5</formula>
    </cfRule>
  </conditionalFormatting>
  <conditionalFormatting sqref="L21">
    <cfRule type="expression" dxfId="639" priority="42">
      <formula>L$5</formula>
    </cfRule>
  </conditionalFormatting>
  <conditionalFormatting sqref="L22">
    <cfRule type="expression" dxfId="638" priority="41">
      <formula>L$5</formula>
    </cfRule>
  </conditionalFormatting>
  <conditionalFormatting sqref="L25">
    <cfRule type="expression" dxfId="637" priority="40">
      <formula>L$5</formula>
    </cfRule>
  </conditionalFormatting>
  <conditionalFormatting sqref="L26">
    <cfRule type="expression" dxfId="636" priority="39">
      <formula>L$5</formula>
    </cfRule>
  </conditionalFormatting>
  <conditionalFormatting sqref="L27">
    <cfRule type="expression" dxfId="635" priority="38">
      <formula>L$5</formula>
    </cfRule>
  </conditionalFormatting>
  <conditionalFormatting sqref="L28">
    <cfRule type="expression" dxfId="634" priority="37">
      <formula>L$5</formula>
    </cfRule>
  </conditionalFormatting>
  <conditionalFormatting sqref="D17">
    <cfRule type="expression" dxfId="633" priority="36">
      <formula>D$5</formula>
    </cfRule>
  </conditionalFormatting>
  <conditionalFormatting sqref="E17">
    <cfRule type="expression" dxfId="632" priority="35">
      <formula>E$5</formula>
    </cfRule>
  </conditionalFormatting>
  <conditionalFormatting sqref="F17">
    <cfRule type="expression" dxfId="631" priority="34">
      <formula>F$5</formula>
    </cfRule>
  </conditionalFormatting>
  <conditionalFormatting sqref="C8">
    <cfRule type="expression" dxfId="630" priority="208">
      <formula>C$3</formula>
    </cfRule>
  </conditionalFormatting>
  <conditionalFormatting sqref="C9">
    <cfRule type="expression" dxfId="629" priority="209">
      <formula>C$6</formula>
    </cfRule>
  </conditionalFormatting>
  <conditionalFormatting sqref="D9">
    <cfRule type="expression" dxfId="628" priority="33">
      <formula>D$6</formula>
    </cfRule>
  </conditionalFormatting>
  <conditionalFormatting sqref="E9">
    <cfRule type="expression" dxfId="627" priority="32">
      <formula>E$6</formula>
    </cfRule>
  </conditionalFormatting>
  <conditionalFormatting sqref="F9">
    <cfRule type="expression" dxfId="626" priority="31">
      <formula>F$6</formula>
    </cfRule>
  </conditionalFormatting>
  <conditionalFormatting sqref="G9">
    <cfRule type="expression" dxfId="625" priority="30">
      <formula>G$6</formula>
    </cfRule>
  </conditionalFormatting>
  <conditionalFormatting sqref="H9">
    <cfRule type="expression" dxfId="624" priority="29">
      <formula>H$6</formula>
    </cfRule>
  </conditionalFormatting>
  <conditionalFormatting sqref="I9">
    <cfRule type="expression" dxfId="623" priority="28">
      <formula>I$6</formula>
    </cfRule>
  </conditionalFormatting>
  <conditionalFormatting sqref="J9">
    <cfRule type="expression" dxfId="622" priority="27">
      <formula>J$6</formula>
    </cfRule>
  </conditionalFormatting>
  <conditionalFormatting sqref="K9">
    <cfRule type="expression" dxfId="621" priority="26">
      <formula>K$6</formula>
    </cfRule>
  </conditionalFormatting>
  <conditionalFormatting sqref="L9">
    <cfRule type="expression" dxfId="620" priority="25">
      <formula>L$6</formula>
    </cfRule>
  </conditionalFormatting>
  <conditionalFormatting sqref="G17">
    <cfRule type="expression" dxfId="619" priority="15">
      <formula>G$5</formula>
    </cfRule>
  </conditionalFormatting>
  <conditionalFormatting sqref="H17">
    <cfRule type="expression" dxfId="618" priority="14">
      <formula>H$5</formula>
    </cfRule>
  </conditionalFormatting>
  <conditionalFormatting sqref="I17">
    <cfRule type="expression" dxfId="617" priority="13">
      <formula>I$5</formula>
    </cfRule>
  </conditionalFormatting>
  <conditionalFormatting sqref="J17">
    <cfRule type="expression" dxfId="616" priority="12">
      <formula>J$5</formula>
    </cfRule>
  </conditionalFormatting>
  <conditionalFormatting sqref="K17">
    <cfRule type="expression" dxfId="615" priority="11">
      <formula>K$5</formula>
    </cfRule>
  </conditionalFormatting>
  <conditionalFormatting sqref="L17">
    <cfRule type="expression" dxfId="614" priority="10">
      <formula>L$5</formula>
    </cfRule>
  </conditionalFormatting>
  <conditionalFormatting sqref="D8">
    <cfRule type="expression" dxfId="613" priority="9">
      <formula>D$3</formula>
    </cfRule>
  </conditionalFormatting>
  <conditionalFormatting sqref="E8">
    <cfRule type="expression" dxfId="612" priority="8">
      <formula>E$3</formula>
    </cfRule>
  </conditionalFormatting>
  <conditionalFormatting sqref="F8">
    <cfRule type="expression" dxfId="611" priority="7">
      <formula>F$3</formula>
    </cfRule>
  </conditionalFormatting>
  <conditionalFormatting sqref="G8">
    <cfRule type="expression" dxfId="610" priority="6">
      <formula>G$3</formula>
    </cfRule>
  </conditionalFormatting>
  <conditionalFormatting sqref="H8">
    <cfRule type="expression" dxfId="609" priority="5">
      <formula>H$3</formula>
    </cfRule>
  </conditionalFormatting>
  <conditionalFormatting sqref="I8">
    <cfRule type="expression" dxfId="608" priority="4">
      <formula>I$3</formula>
    </cfRule>
  </conditionalFormatting>
  <conditionalFormatting sqref="J8">
    <cfRule type="expression" dxfId="607" priority="3">
      <formula>J$3</formula>
    </cfRule>
  </conditionalFormatting>
  <conditionalFormatting sqref="K8">
    <cfRule type="expression" dxfId="606" priority="2">
      <formula>K$3</formula>
    </cfRule>
  </conditionalFormatting>
  <conditionalFormatting sqref="L8">
    <cfRule type="expression" dxfId="605" priority="1">
      <formula>L$3</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Admin!$E$2:$E$4</xm:f>
          </x14:formula1>
          <xm:sqref>C16:L16</xm:sqref>
        </x14:dataValidation>
        <x14:dataValidation type="list" allowBlank="1" showInputMessage="1" showErrorMessage="1">
          <x14:formula1>
            <xm:f>Admin!$E$7:$E$8</xm:f>
          </x14:formula1>
          <xm:sqref>C22:L22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zoomScaleNormal="100" workbookViewId="0">
      <selection activeCell="C13" sqref="C13"/>
    </sheetView>
  </sheetViews>
  <sheetFormatPr defaultColWidth="9.140625" defaultRowHeight="15" x14ac:dyDescent="0.25"/>
  <cols>
    <col min="1" max="1" width="19.5703125" style="6" customWidth="1"/>
    <col min="2" max="2" width="55.5703125" style="6" bestFit="1" customWidth="1"/>
    <col min="3" max="12" width="20.5703125" style="6" customWidth="1"/>
    <col min="13" max="16384" width="9.140625" style="6"/>
  </cols>
  <sheetData>
    <row r="1" spans="1:12" ht="15.75" thickBot="1" x14ac:dyDescent="0.3">
      <c r="A1" s="40" t="s">
        <v>65</v>
      </c>
      <c r="C1" s="60">
        <f>SUM(C2:L2)</f>
        <v>0</v>
      </c>
    </row>
    <row r="2" spans="1:12" hidden="1" x14ac:dyDescent="0.25">
      <c r="A2" s="26" t="s">
        <v>48</v>
      </c>
      <c r="B2" s="39"/>
      <c r="C2" s="24">
        <f>C11*C12+C13+C18*C25*C17+C19*C26*C17+C20*C27*C17+C21*C28*C17+C33*(C32-C31)*C18*C17+C37*(C36-C35)*C19*C17+C41*(C40-C39)*C20*C17+C45*(C44-C43)*C21*C17</f>
        <v>0</v>
      </c>
      <c r="D2" s="24">
        <f t="shared" ref="D2:L2" si="0">D11*D12+D13+D18*D25*D17+D19*D26*D17+D20*D27*D17+D21*D28*D17+D33*(D32-D31)*D17+D37*(D36-D35)*D17+D41*(D40-D39)*D17+D45*(D44-D43)*D17</f>
        <v>0</v>
      </c>
      <c r="E2" s="24">
        <f t="shared" si="0"/>
        <v>0</v>
      </c>
      <c r="F2" s="24">
        <f t="shared" si="0"/>
        <v>0</v>
      </c>
      <c r="G2" s="24">
        <f t="shared" si="0"/>
        <v>0</v>
      </c>
      <c r="H2" s="24">
        <f t="shared" si="0"/>
        <v>0</v>
      </c>
      <c r="I2" s="24">
        <f t="shared" si="0"/>
        <v>0</v>
      </c>
      <c r="J2" s="24">
        <f t="shared" si="0"/>
        <v>0</v>
      </c>
      <c r="K2" s="24">
        <f t="shared" si="0"/>
        <v>0</v>
      </c>
      <c r="L2" s="24">
        <f t="shared" si="0"/>
        <v>0</v>
      </c>
    </row>
    <row r="3" spans="1:12" hidden="1" x14ac:dyDescent="0.25">
      <c r="A3" s="26" t="s">
        <v>49</v>
      </c>
      <c r="B3" s="40"/>
      <c r="C3" s="27" t="b">
        <f>IF(TotalEntities&gt;=1,TRUE,FALSE)</f>
        <v>1</v>
      </c>
      <c r="D3" s="27" t="b">
        <f>IF(TotalEntities&gt;=2,TRUE,FALSE)</f>
        <v>1</v>
      </c>
      <c r="E3" s="27" t="b">
        <f>IF(TotalEntities&gt;=3,TRUE,FALSE)</f>
        <v>1</v>
      </c>
      <c r="F3" s="27" t="b">
        <f>IF(TotalEntities&gt;=4,TRUE,FALSE)</f>
        <v>1</v>
      </c>
      <c r="G3" s="27" t="b">
        <f>IF(TotalEntities&gt;=5,TRUE,FALSE)</f>
        <v>1</v>
      </c>
      <c r="H3" s="27" t="b">
        <f>IF(TotalEntities&gt;=6,TRUE,FALSE)</f>
        <v>1</v>
      </c>
      <c r="I3" s="27" t="b">
        <f>IF(TotalEntities&gt;=7,TRUE,FALSE)</f>
        <v>0</v>
      </c>
      <c r="J3" s="27" t="b">
        <f>IF(TotalEntities&gt;=8,TRUE,FALSE)</f>
        <v>0</v>
      </c>
      <c r="K3" s="27" t="b">
        <f>IF(TotalEntities&gt;=9,TRUE,FALSE)</f>
        <v>0</v>
      </c>
      <c r="L3" s="27" t="b">
        <f>IF(TotalEntities&gt;=10,TRUE,FALSE)</f>
        <v>0</v>
      </c>
    </row>
    <row r="4" spans="1:12" hidden="1" x14ac:dyDescent="0.25">
      <c r="A4" s="26" t="s">
        <v>50</v>
      </c>
      <c r="B4" s="40">
        <v>5</v>
      </c>
      <c r="C4" s="27" t="b">
        <f>VLOOKUP(GettingStarted!D8,Admin!$A$27:$J$34,$B$4, FALSE)</f>
        <v>1</v>
      </c>
      <c r="D4" s="27" t="b">
        <f>VLOOKUP(GettingStarted!D9,Admin!$A$27:$J$34,$B$4, FALSE)</f>
        <v>1</v>
      </c>
      <c r="E4" s="27" t="b">
        <f>VLOOKUP(GettingStarted!D10,Admin!$A$27:$J$34,$B$4, FALSE)</f>
        <v>1</v>
      </c>
      <c r="F4" s="27" t="b">
        <f>VLOOKUP(GettingStarted!D11,Admin!$A$27:$J$34,$B$4, FALSE)</f>
        <v>0</v>
      </c>
      <c r="G4" s="27" t="b">
        <f>VLOOKUP(GettingStarted!D12,Admin!$A$27:$J$34,$B$4, FALSE)</f>
        <v>0</v>
      </c>
      <c r="H4" s="27" t="b">
        <f>VLOOKUP(GettingStarted!D13,Admin!$A$27:$J$34,$B$4, FALSE)</f>
        <v>0</v>
      </c>
      <c r="I4" s="27" t="e">
        <f>VLOOKUP(GettingStarted!D14,Admin!$A$27:$J$34,$B$4, FALSE)</f>
        <v>#N/A</v>
      </c>
      <c r="J4" s="27" t="e">
        <f>VLOOKUP(GettingStarted!D15,Admin!$A$27:$J$34,$B$4, FALSE)</f>
        <v>#N/A</v>
      </c>
      <c r="K4" s="27" t="e">
        <f>VLOOKUP(GettingStarted!D16,Admin!$A$27:$J$34,$B$4, FALSE)</f>
        <v>#N/A</v>
      </c>
      <c r="L4" s="27" t="e">
        <f>VLOOKUP(GettingStarted!D17,Admin!$A$27:$J$34,$B$4, FALSE)</f>
        <v>#N/A</v>
      </c>
    </row>
    <row r="5" spans="1:12" hidden="1" x14ac:dyDescent="0.25">
      <c r="A5" s="26" t="s">
        <v>58</v>
      </c>
      <c r="B5" s="40"/>
      <c r="C5" s="27" t="b">
        <f>IF(C3=TRUE,IF(C4=TRUE,TRUE,FALSE),FALSE)</f>
        <v>1</v>
      </c>
      <c r="D5" s="27" t="b">
        <f t="shared" ref="D5:L5" si="1">IF(D3=TRUE,IF(D4=TRUE,TRUE,FALSE),FALSE)</f>
        <v>1</v>
      </c>
      <c r="E5" s="27" t="b">
        <f t="shared" si="1"/>
        <v>1</v>
      </c>
      <c r="F5" s="27" t="b">
        <f t="shared" si="1"/>
        <v>0</v>
      </c>
      <c r="G5" s="27" t="b">
        <f t="shared" si="1"/>
        <v>0</v>
      </c>
      <c r="H5" s="27" t="b">
        <f t="shared" si="1"/>
        <v>0</v>
      </c>
      <c r="I5" s="27" t="b">
        <f t="shared" si="1"/>
        <v>0</v>
      </c>
      <c r="J5" s="27" t="b">
        <f t="shared" si="1"/>
        <v>0</v>
      </c>
      <c r="K5" s="27" t="b">
        <f t="shared" si="1"/>
        <v>0</v>
      </c>
      <c r="L5" s="27" t="b">
        <f t="shared" si="1"/>
        <v>0</v>
      </c>
    </row>
    <row r="6" spans="1:12" hidden="1" x14ac:dyDescent="0.25">
      <c r="A6" s="26" t="s">
        <v>60</v>
      </c>
      <c r="B6" s="40"/>
      <c r="C6" s="27" t="b">
        <f>IF(C3=TRUE,IF(C5=FALSE,TRUE,FALSE),FALSE)</f>
        <v>0</v>
      </c>
      <c r="D6" s="27" t="b">
        <f t="shared" ref="D6:L6" si="2">IF(D3=TRUE,IF(D5=FALSE,TRUE,FALSE),FALSE)</f>
        <v>0</v>
      </c>
      <c r="E6" s="27" t="b">
        <f t="shared" si="2"/>
        <v>0</v>
      </c>
      <c r="F6" s="27" t="b">
        <f t="shared" si="2"/>
        <v>1</v>
      </c>
      <c r="G6" s="27" t="b">
        <f t="shared" si="2"/>
        <v>1</v>
      </c>
      <c r="H6" s="27" t="b">
        <f t="shared" si="2"/>
        <v>1</v>
      </c>
      <c r="I6" s="27" t="b">
        <f t="shared" si="2"/>
        <v>0</v>
      </c>
      <c r="J6" s="27" t="b">
        <f t="shared" si="2"/>
        <v>0</v>
      </c>
      <c r="K6" s="27" t="b">
        <f t="shared" si="2"/>
        <v>0</v>
      </c>
      <c r="L6" s="27" t="b">
        <f t="shared" si="2"/>
        <v>0</v>
      </c>
    </row>
    <row r="7" spans="1:12" ht="14.45" x14ac:dyDescent="0.3">
      <c r="A7" s="96"/>
      <c r="B7" s="40"/>
      <c r="C7" s="27"/>
      <c r="D7" s="27"/>
      <c r="E7" s="27"/>
      <c r="F7" s="27"/>
      <c r="G7" s="27"/>
      <c r="H7" s="27"/>
      <c r="I7" s="27"/>
      <c r="J7" s="27"/>
      <c r="K7" s="27"/>
      <c r="L7" s="27"/>
    </row>
    <row r="8" spans="1:12" s="130" customFormat="1" ht="45" customHeight="1" x14ac:dyDescent="0.3">
      <c r="A8" s="129" t="s">
        <v>47</v>
      </c>
      <c r="C8" s="131" t="str">
        <f>IF(C3=TRUE,entity1,"")</f>
        <v>Oxbow County</v>
      </c>
      <c r="D8" s="131" t="str">
        <f>IF(D3=TRUE,entity2,"")</f>
        <v>City of Pool</v>
      </c>
      <c r="E8" s="131" t="str">
        <f>IF(E3=TRUE,entity3,"")</f>
        <v>City of Riffle</v>
      </c>
      <c r="F8" s="131" t="str">
        <f>IF(F3=TRUE,entity4,"")</f>
        <v>Wishful Watershed Council</v>
      </c>
      <c r="G8" s="131" t="str">
        <f>IF(G3=TRUE,entity5,"")</f>
        <v>Council of Government</v>
      </c>
      <c r="H8" s="131" t="str">
        <f>IF(H3=TRUE,entity6,"")</f>
        <v>Soil &amp; Water Conservation</v>
      </c>
      <c r="I8" s="131" t="str">
        <f>IF(I3=TRUE,entity7,"")</f>
        <v/>
      </c>
      <c r="J8" s="131" t="str">
        <f>IF(J3=TRUE,entity8,"")</f>
        <v/>
      </c>
      <c r="K8" s="131" t="str">
        <f>IF(K3=TRUE,entity9,"")</f>
        <v/>
      </c>
      <c r="L8" s="131" t="str">
        <f>IF(L3=TRUE,entity10,"")</f>
        <v/>
      </c>
    </row>
    <row r="9" spans="1:12" s="88" customFormat="1" ht="48.75" customHeight="1" x14ac:dyDescent="0.3">
      <c r="A9" s="87"/>
      <c r="C9" s="86" t="str">
        <f>GettingStarted!D8 &amp; "s cannot raise " &amp; PROPER($A$1)</f>
        <v>County Governments cannot raise Wastewater Revenue</v>
      </c>
      <c r="D9" s="86" t="str">
        <f>GettingStarted!D9 &amp; "s cannot raise " &amp; PROPER($A$1)</f>
        <v>Municipal Governments cannot raise Wastewater Revenue</v>
      </c>
      <c r="E9" s="86" t="str">
        <f>GettingStarted!D10 &amp; "s cannot raise " &amp; PROPER($A$1)</f>
        <v>Municipal Governments cannot raise Wastewater Revenue</v>
      </c>
      <c r="F9" s="86" t="str">
        <f>GettingStarted!D11 &amp; "s cannot raise " &amp; PROPER($A$1)</f>
        <v>Watershed Councils cannot raise Wastewater Revenue</v>
      </c>
      <c r="G9" s="86" t="str">
        <f>GettingStarted!D12 &amp; "s cannot raise " &amp; PROPER($A$1)</f>
        <v>Nonprofits cannot raise Wastewater Revenue</v>
      </c>
      <c r="H9" s="86" t="str">
        <f>GettingStarted!D13 &amp; "s cannot raise " &amp; PROPER($A$1)</f>
        <v>Nonprofits cannot raise Wastewater Revenue</v>
      </c>
      <c r="I9" s="86" t="str">
        <f>GettingStarted!D14 &amp; "s cannot raise " &amp; PROPER($A$1)</f>
        <v>s cannot raise Wastewater Revenue</v>
      </c>
      <c r="J9" s="86" t="str">
        <f>GettingStarted!D15 &amp; "s cannot raise " &amp; PROPER($A$1)</f>
        <v>s cannot raise Wastewater Revenue</v>
      </c>
      <c r="K9" s="86" t="str">
        <f>GettingStarted!D16 &amp; "s cannot raise " &amp; PROPER($A$1)</f>
        <v>s cannot raise Wastewater Revenue</v>
      </c>
      <c r="L9" s="86" t="str">
        <f>GettingStarted!D17 &amp; "s cannot raise " &amp; PROPER($A$1)</f>
        <v>s cannot raise Wastewater Revenue</v>
      </c>
    </row>
    <row r="10" spans="1:12" x14ac:dyDescent="0.25">
      <c r="A10" s="158" t="s">
        <v>66</v>
      </c>
      <c r="B10" s="158"/>
    </row>
    <row r="11" spans="1:12" s="90" customFormat="1" x14ac:dyDescent="0.25">
      <c r="B11" s="51" t="s">
        <v>67</v>
      </c>
      <c r="C11" s="74"/>
      <c r="D11" s="74"/>
      <c r="E11" s="74"/>
      <c r="F11" s="74"/>
      <c r="G11" s="74"/>
      <c r="H11" s="74"/>
      <c r="I11" s="74"/>
      <c r="J11" s="74"/>
      <c r="K11" s="74"/>
      <c r="L11" s="74"/>
    </row>
    <row r="12" spans="1:12" x14ac:dyDescent="0.25">
      <c r="B12" s="6" t="s">
        <v>104</v>
      </c>
      <c r="C12" s="72"/>
      <c r="D12" s="72"/>
      <c r="E12" s="72"/>
      <c r="F12" s="72"/>
      <c r="G12" s="72"/>
      <c r="H12" s="72"/>
      <c r="I12" s="72"/>
      <c r="J12" s="72"/>
      <c r="K12" s="72"/>
      <c r="L12" s="72"/>
    </row>
    <row r="13" spans="1:12" x14ac:dyDescent="0.25">
      <c r="A13" s="36" t="s">
        <v>17</v>
      </c>
      <c r="B13" s="6" t="s">
        <v>105</v>
      </c>
      <c r="C13" s="91"/>
      <c r="D13" s="91"/>
      <c r="E13" s="91"/>
      <c r="F13" s="91"/>
      <c r="G13" s="91"/>
      <c r="H13" s="91"/>
      <c r="I13" s="91"/>
      <c r="J13" s="91"/>
      <c r="K13" s="91"/>
      <c r="L13" s="91"/>
    </row>
    <row r="14" spans="1:12" x14ac:dyDescent="0.25">
      <c r="C14" s="15"/>
      <c r="D14" s="15"/>
      <c r="E14" s="15"/>
      <c r="F14" s="15"/>
      <c r="G14" s="15"/>
      <c r="H14" s="15"/>
      <c r="I14" s="15"/>
      <c r="J14" s="15"/>
      <c r="K14" s="15"/>
      <c r="L14" s="15"/>
    </row>
    <row r="15" spans="1:12" x14ac:dyDescent="0.25">
      <c r="A15" s="40" t="s">
        <v>115</v>
      </c>
      <c r="C15" s="15"/>
      <c r="D15" s="15"/>
      <c r="E15" s="15"/>
      <c r="F15" s="15"/>
      <c r="G15" s="15"/>
      <c r="H15" s="15"/>
      <c r="I15" s="15"/>
      <c r="J15" s="15"/>
      <c r="K15" s="15"/>
      <c r="L15" s="15"/>
    </row>
    <row r="16" spans="1:12" x14ac:dyDescent="0.25">
      <c r="B16" s="6" t="s">
        <v>68</v>
      </c>
      <c r="C16" s="73"/>
      <c r="D16" s="73"/>
      <c r="E16" s="73"/>
      <c r="F16" s="73"/>
      <c r="G16" s="73"/>
      <c r="H16" s="73"/>
      <c r="I16" s="73"/>
      <c r="J16" s="73"/>
      <c r="K16" s="73"/>
      <c r="L16" s="73"/>
    </row>
    <row r="17" spans="1:12" x14ac:dyDescent="0.25">
      <c r="B17" s="6" t="s">
        <v>69</v>
      </c>
      <c r="C17" s="76">
        <f t="shared" ref="C17:L17" si="3">IF(C16="Monthly",12,IF(C16="Bi-Monthly",6,IF(C16="Quarterly","4",0)))</f>
        <v>0</v>
      </c>
      <c r="D17" s="76">
        <f t="shared" si="3"/>
        <v>0</v>
      </c>
      <c r="E17" s="76">
        <f t="shared" si="3"/>
        <v>0</v>
      </c>
      <c r="F17" s="76">
        <f t="shared" si="3"/>
        <v>0</v>
      </c>
      <c r="G17" s="76">
        <f t="shared" si="3"/>
        <v>0</v>
      </c>
      <c r="H17" s="76">
        <f t="shared" si="3"/>
        <v>0</v>
      </c>
      <c r="I17" s="76">
        <f t="shared" si="3"/>
        <v>0</v>
      </c>
      <c r="J17" s="76">
        <f t="shared" si="3"/>
        <v>0</v>
      </c>
      <c r="K17" s="76">
        <f t="shared" si="3"/>
        <v>0</v>
      </c>
      <c r="L17" s="76">
        <f t="shared" si="3"/>
        <v>0</v>
      </c>
    </row>
    <row r="18" spans="1:12" x14ac:dyDescent="0.25">
      <c r="B18" s="6" t="s">
        <v>94</v>
      </c>
      <c r="C18" s="74"/>
      <c r="D18" s="74"/>
      <c r="E18" s="74"/>
      <c r="F18" s="74"/>
      <c r="G18" s="74"/>
      <c r="H18" s="74"/>
      <c r="I18" s="74"/>
      <c r="J18" s="74"/>
      <c r="K18" s="74"/>
      <c r="L18" s="74"/>
    </row>
    <row r="19" spans="1:12" x14ac:dyDescent="0.25">
      <c r="B19" s="6" t="s">
        <v>95</v>
      </c>
      <c r="C19" s="74"/>
      <c r="D19" s="74"/>
      <c r="E19" s="74"/>
      <c r="F19" s="74"/>
      <c r="G19" s="74"/>
      <c r="H19" s="74"/>
      <c r="I19" s="74"/>
      <c r="J19" s="74"/>
      <c r="K19" s="74"/>
      <c r="L19" s="74"/>
    </row>
    <row r="20" spans="1:12" x14ac:dyDescent="0.25">
      <c r="B20" s="6" t="s">
        <v>96</v>
      </c>
      <c r="C20" s="74"/>
      <c r="D20" s="74"/>
      <c r="E20" s="74"/>
      <c r="F20" s="74"/>
      <c r="G20" s="74"/>
      <c r="H20" s="74"/>
      <c r="I20" s="74"/>
      <c r="J20" s="74"/>
      <c r="K20" s="74"/>
      <c r="L20" s="74"/>
    </row>
    <row r="21" spans="1:12" x14ac:dyDescent="0.25">
      <c r="B21" s="6" t="s">
        <v>97</v>
      </c>
      <c r="C21" s="74"/>
      <c r="D21" s="74"/>
      <c r="E21" s="74"/>
      <c r="F21" s="74"/>
      <c r="G21" s="74"/>
      <c r="H21" s="74"/>
      <c r="I21" s="74"/>
      <c r="J21" s="74"/>
      <c r="K21" s="74"/>
      <c r="L21" s="74"/>
    </row>
    <row r="22" spans="1:12" x14ac:dyDescent="0.25">
      <c r="B22" s="6" t="s">
        <v>73</v>
      </c>
      <c r="C22" s="73"/>
      <c r="D22" s="73"/>
      <c r="E22" s="73"/>
      <c r="F22" s="73"/>
      <c r="G22" s="73"/>
      <c r="H22" s="73"/>
      <c r="I22" s="73"/>
      <c r="J22" s="73"/>
      <c r="K22" s="73"/>
      <c r="L22" s="73"/>
    </row>
    <row r="23" spans="1:12" x14ac:dyDescent="0.25">
      <c r="C23" s="15"/>
      <c r="D23" s="15"/>
      <c r="E23" s="15"/>
      <c r="F23" s="15"/>
      <c r="G23" s="15"/>
      <c r="H23" s="15"/>
      <c r="I23" s="15"/>
      <c r="J23" s="15"/>
      <c r="K23" s="15"/>
      <c r="L23" s="15"/>
    </row>
    <row r="24" spans="1:12" x14ac:dyDescent="0.25">
      <c r="A24" s="158" t="s">
        <v>125</v>
      </c>
      <c r="B24" s="158"/>
      <c r="C24" s="15"/>
      <c r="D24" s="15"/>
      <c r="E24" s="15"/>
      <c r="F24" s="15"/>
      <c r="G24" s="15"/>
      <c r="H24" s="15"/>
      <c r="I24" s="15"/>
      <c r="J24" s="15"/>
      <c r="K24" s="15"/>
      <c r="L24" s="15"/>
    </row>
    <row r="25" spans="1:12" x14ac:dyDescent="0.25">
      <c r="B25" s="6" t="s">
        <v>177</v>
      </c>
      <c r="C25" s="71"/>
      <c r="D25" s="71"/>
      <c r="E25" s="71"/>
      <c r="F25" s="71"/>
      <c r="G25" s="71"/>
      <c r="H25" s="71"/>
      <c r="I25" s="71"/>
      <c r="J25" s="71"/>
      <c r="K25" s="71"/>
      <c r="L25" s="71"/>
    </row>
    <row r="26" spans="1:12" x14ac:dyDescent="0.25">
      <c r="B26" s="6" t="s">
        <v>178</v>
      </c>
      <c r="C26" s="71"/>
      <c r="D26" s="71"/>
      <c r="E26" s="71"/>
      <c r="F26" s="71"/>
      <c r="G26" s="71"/>
      <c r="H26" s="71"/>
      <c r="I26" s="71"/>
      <c r="J26" s="71"/>
      <c r="K26" s="71"/>
      <c r="L26" s="71"/>
    </row>
    <row r="27" spans="1:12" x14ac:dyDescent="0.25">
      <c r="B27" s="6" t="s">
        <v>179</v>
      </c>
      <c r="C27" s="71"/>
      <c r="D27" s="71"/>
      <c r="E27" s="71"/>
      <c r="F27" s="71"/>
      <c r="G27" s="71"/>
      <c r="H27" s="71"/>
      <c r="I27" s="71"/>
      <c r="J27" s="71"/>
      <c r="K27" s="71"/>
      <c r="L27" s="71"/>
    </row>
    <row r="28" spans="1:12" x14ac:dyDescent="0.25">
      <c r="B28" s="6" t="s">
        <v>180</v>
      </c>
      <c r="C28" s="71"/>
      <c r="D28" s="71"/>
      <c r="E28" s="71"/>
      <c r="F28" s="71"/>
      <c r="G28" s="71"/>
      <c r="H28" s="71"/>
      <c r="I28" s="71"/>
      <c r="J28" s="71"/>
      <c r="K28" s="71"/>
      <c r="L28" s="71"/>
    </row>
    <row r="29" spans="1:12" x14ac:dyDescent="0.25">
      <c r="C29" s="15"/>
      <c r="D29" s="15"/>
      <c r="E29" s="15"/>
      <c r="F29" s="15"/>
      <c r="G29" s="15"/>
      <c r="H29" s="15"/>
      <c r="I29" s="15"/>
      <c r="J29" s="15"/>
      <c r="K29" s="15"/>
      <c r="L29" s="15"/>
    </row>
    <row r="30" spans="1:12" x14ac:dyDescent="0.25">
      <c r="A30" s="40" t="s">
        <v>126</v>
      </c>
      <c r="C30" s="15"/>
      <c r="D30" s="15"/>
      <c r="E30" s="15"/>
      <c r="F30" s="15"/>
      <c r="G30" s="15"/>
      <c r="H30" s="15"/>
      <c r="I30" s="15"/>
      <c r="J30" s="15"/>
      <c r="K30" s="15"/>
      <c r="L30" s="15"/>
    </row>
    <row r="31" spans="1:12" x14ac:dyDescent="0.25">
      <c r="A31" s="40"/>
      <c r="B31" s="42" t="s">
        <v>107</v>
      </c>
      <c r="C31" s="75"/>
      <c r="D31" s="75"/>
      <c r="E31" s="75"/>
      <c r="F31" s="75"/>
      <c r="G31" s="75"/>
      <c r="H31" s="75"/>
      <c r="I31" s="75"/>
      <c r="J31" s="75"/>
      <c r="K31" s="75"/>
      <c r="L31" s="75"/>
    </row>
    <row r="32" spans="1:12" x14ac:dyDescent="0.25">
      <c r="B32" s="43" t="s">
        <v>106</v>
      </c>
      <c r="C32" s="75"/>
      <c r="D32" s="75"/>
      <c r="E32" s="75"/>
      <c r="F32" s="75"/>
      <c r="G32" s="75"/>
      <c r="H32" s="75"/>
      <c r="I32" s="75"/>
      <c r="J32" s="75"/>
      <c r="K32" s="75"/>
      <c r="L32" s="75"/>
    </row>
    <row r="33" spans="1:12" x14ac:dyDescent="0.25">
      <c r="A33" s="40"/>
      <c r="B33" s="42" t="s">
        <v>128</v>
      </c>
      <c r="C33" s="71"/>
      <c r="D33" s="71"/>
      <c r="E33" s="71"/>
      <c r="F33" s="71"/>
      <c r="G33" s="71"/>
      <c r="H33" s="71"/>
      <c r="I33" s="71"/>
      <c r="J33" s="71"/>
      <c r="K33" s="71"/>
      <c r="L33" s="71"/>
    </row>
    <row r="34" spans="1:12" x14ac:dyDescent="0.25">
      <c r="A34" s="12"/>
      <c r="C34" s="18"/>
      <c r="D34" s="18"/>
      <c r="E34" s="18"/>
      <c r="F34" s="18"/>
      <c r="G34" s="18"/>
      <c r="H34" s="18"/>
      <c r="I34" s="18"/>
      <c r="J34" s="18"/>
      <c r="K34" s="18"/>
      <c r="L34" s="18"/>
    </row>
    <row r="35" spans="1:12" x14ac:dyDescent="0.25">
      <c r="B35" s="42" t="s">
        <v>108</v>
      </c>
      <c r="C35" s="75"/>
      <c r="D35" s="75"/>
      <c r="E35" s="75"/>
      <c r="F35" s="75"/>
      <c r="G35" s="75"/>
      <c r="H35" s="75"/>
      <c r="I35" s="75"/>
      <c r="J35" s="75"/>
      <c r="K35" s="75"/>
      <c r="L35" s="75"/>
    </row>
    <row r="36" spans="1:12" x14ac:dyDescent="0.25">
      <c r="B36" s="43" t="s">
        <v>109</v>
      </c>
      <c r="C36" s="75"/>
      <c r="D36" s="75"/>
      <c r="E36" s="75"/>
      <c r="F36" s="75"/>
      <c r="G36" s="75"/>
      <c r="H36" s="75"/>
      <c r="I36" s="75"/>
      <c r="J36" s="75"/>
      <c r="K36" s="75"/>
      <c r="L36" s="75"/>
    </row>
    <row r="37" spans="1:12" x14ac:dyDescent="0.25">
      <c r="B37" s="42" t="s">
        <v>129</v>
      </c>
      <c r="C37" s="71"/>
      <c r="D37" s="71"/>
      <c r="E37" s="71"/>
      <c r="F37" s="71"/>
      <c r="G37" s="71"/>
      <c r="H37" s="71"/>
      <c r="I37" s="71"/>
      <c r="J37" s="71"/>
      <c r="K37" s="71"/>
      <c r="L37" s="71"/>
    </row>
    <row r="38" spans="1:12" x14ac:dyDescent="0.25">
      <c r="C38" s="15"/>
      <c r="D38" s="15"/>
      <c r="E38" s="15"/>
      <c r="F38" s="15"/>
      <c r="G38" s="15"/>
      <c r="H38" s="15"/>
      <c r="I38" s="15"/>
      <c r="J38" s="15"/>
      <c r="K38" s="15"/>
      <c r="L38" s="15"/>
    </row>
    <row r="39" spans="1:12" x14ac:dyDescent="0.25">
      <c r="B39" s="42" t="s">
        <v>110</v>
      </c>
      <c r="C39" s="75"/>
      <c r="D39" s="75"/>
      <c r="E39" s="75"/>
      <c r="F39" s="75"/>
      <c r="G39" s="75"/>
      <c r="H39" s="75"/>
      <c r="I39" s="75"/>
      <c r="J39" s="75"/>
      <c r="K39" s="75"/>
      <c r="L39" s="75"/>
    </row>
    <row r="40" spans="1:12" x14ac:dyDescent="0.25">
      <c r="B40" s="43" t="s">
        <v>111</v>
      </c>
      <c r="C40" s="75"/>
      <c r="D40" s="75"/>
      <c r="E40" s="75"/>
      <c r="F40" s="75"/>
      <c r="G40" s="75"/>
      <c r="H40" s="75"/>
      <c r="I40" s="75"/>
      <c r="J40" s="75"/>
      <c r="K40" s="75"/>
      <c r="L40" s="75"/>
    </row>
    <row r="41" spans="1:12" x14ac:dyDescent="0.25">
      <c r="B41" s="42" t="s">
        <v>130</v>
      </c>
      <c r="C41" s="71"/>
      <c r="D41" s="71"/>
      <c r="E41" s="71"/>
      <c r="F41" s="71"/>
      <c r="G41" s="71"/>
      <c r="H41" s="71"/>
      <c r="I41" s="71"/>
      <c r="J41" s="71"/>
      <c r="K41" s="71"/>
      <c r="L41" s="71"/>
    </row>
    <row r="42" spans="1:12" x14ac:dyDescent="0.25">
      <c r="C42" s="15"/>
      <c r="D42" s="15"/>
      <c r="E42" s="15"/>
      <c r="F42" s="15"/>
      <c r="G42" s="15"/>
      <c r="H42" s="15"/>
      <c r="I42" s="15"/>
      <c r="J42" s="15"/>
      <c r="K42" s="15"/>
      <c r="L42" s="15"/>
    </row>
    <row r="43" spans="1:12" x14ac:dyDescent="0.25">
      <c r="B43" s="42" t="s">
        <v>112</v>
      </c>
      <c r="C43" s="75"/>
      <c r="D43" s="75"/>
      <c r="E43" s="75"/>
      <c r="F43" s="75"/>
      <c r="G43" s="75"/>
      <c r="H43" s="75"/>
      <c r="I43" s="75"/>
      <c r="J43" s="75"/>
      <c r="K43" s="75"/>
      <c r="L43" s="75"/>
    </row>
    <row r="44" spans="1:12" x14ac:dyDescent="0.25">
      <c r="B44" s="43" t="s">
        <v>113</v>
      </c>
      <c r="C44" s="75"/>
      <c r="D44" s="75"/>
      <c r="E44" s="75"/>
      <c r="F44" s="75"/>
      <c r="G44" s="75"/>
      <c r="H44" s="75"/>
      <c r="I44" s="75"/>
      <c r="J44" s="75"/>
      <c r="K44" s="75"/>
      <c r="L44" s="75"/>
    </row>
    <row r="45" spans="1:12" x14ac:dyDescent="0.25">
      <c r="B45" s="42" t="s">
        <v>131</v>
      </c>
      <c r="C45" s="71"/>
      <c r="D45" s="71"/>
      <c r="E45" s="71"/>
      <c r="F45" s="71"/>
      <c r="G45" s="71"/>
      <c r="H45" s="71"/>
      <c r="I45" s="71"/>
      <c r="J45" s="71"/>
      <c r="K45" s="71"/>
      <c r="L45" s="71"/>
    </row>
    <row r="47" spans="1:12" x14ac:dyDescent="0.25">
      <c r="B47" s="159" t="s">
        <v>132</v>
      </c>
    </row>
    <row r="48" spans="1:12" x14ac:dyDescent="0.25">
      <c r="B48" s="159"/>
    </row>
    <row r="49" spans="2:2" x14ac:dyDescent="0.25">
      <c r="B49" s="159"/>
    </row>
  </sheetData>
  <sheetProtection password="9D10" sheet="1" objects="1" scenarios="1" selectLockedCells="1"/>
  <mergeCells count="3">
    <mergeCell ref="A10:B10"/>
    <mergeCell ref="A24:B24"/>
    <mergeCell ref="B47:B49"/>
  </mergeCells>
  <conditionalFormatting sqref="C11">
    <cfRule type="expression" dxfId="604" priority="189">
      <formula>C$5</formula>
    </cfRule>
  </conditionalFormatting>
  <conditionalFormatting sqref="C12:C13">
    <cfRule type="expression" dxfId="603" priority="188">
      <formula>C$5</formula>
    </cfRule>
  </conditionalFormatting>
  <conditionalFormatting sqref="C17">
    <cfRule type="expression" dxfId="602" priority="187">
      <formula>C$5</formula>
    </cfRule>
  </conditionalFormatting>
  <conditionalFormatting sqref="C31:C33">
    <cfRule type="expression" dxfId="601" priority="186">
      <formula>C$5</formula>
    </cfRule>
  </conditionalFormatting>
  <conditionalFormatting sqref="C35:C37">
    <cfRule type="expression" dxfId="600" priority="185">
      <formula>C$5</formula>
    </cfRule>
  </conditionalFormatting>
  <conditionalFormatting sqref="C39:C41">
    <cfRule type="expression" dxfId="599" priority="184">
      <formula>C$5</formula>
    </cfRule>
  </conditionalFormatting>
  <conditionalFormatting sqref="C43:C45">
    <cfRule type="expression" dxfId="598" priority="183">
      <formula>C$5</formula>
    </cfRule>
  </conditionalFormatting>
  <conditionalFormatting sqref="C16">
    <cfRule type="expression" dxfId="597" priority="182">
      <formula>C$5</formula>
    </cfRule>
  </conditionalFormatting>
  <conditionalFormatting sqref="C18">
    <cfRule type="expression" dxfId="596" priority="181">
      <formula>C$5</formula>
    </cfRule>
  </conditionalFormatting>
  <conditionalFormatting sqref="C19">
    <cfRule type="expression" dxfId="595" priority="180">
      <formula>C$5</formula>
    </cfRule>
  </conditionalFormatting>
  <conditionalFormatting sqref="C20">
    <cfRule type="expression" dxfId="594" priority="179">
      <formula>C$5</formula>
    </cfRule>
  </conditionalFormatting>
  <conditionalFormatting sqref="C21">
    <cfRule type="expression" dxfId="593" priority="178">
      <formula>C$5</formula>
    </cfRule>
  </conditionalFormatting>
  <conditionalFormatting sqref="C22">
    <cfRule type="expression" dxfId="592" priority="177">
      <formula>C$5</formula>
    </cfRule>
  </conditionalFormatting>
  <conditionalFormatting sqref="C25">
    <cfRule type="expression" dxfId="591" priority="176">
      <formula>C$5</formula>
    </cfRule>
  </conditionalFormatting>
  <conditionalFormatting sqref="C26">
    <cfRule type="expression" dxfId="590" priority="175">
      <formula>C$5</formula>
    </cfRule>
  </conditionalFormatting>
  <conditionalFormatting sqref="C27">
    <cfRule type="expression" dxfId="589" priority="174">
      <formula>C$5</formula>
    </cfRule>
  </conditionalFormatting>
  <conditionalFormatting sqref="C28">
    <cfRule type="expression" dxfId="588" priority="173">
      <formula>C$5</formula>
    </cfRule>
  </conditionalFormatting>
  <conditionalFormatting sqref="D11">
    <cfRule type="expression" dxfId="587" priority="172">
      <formula>D$5</formula>
    </cfRule>
  </conditionalFormatting>
  <conditionalFormatting sqref="D12:D13">
    <cfRule type="expression" dxfId="586" priority="171">
      <formula>D$5</formula>
    </cfRule>
  </conditionalFormatting>
  <conditionalFormatting sqref="D31:D33">
    <cfRule type="expression" dxfId="585" priority="170">
      <formula>D$5</formula>
    </cfRule>
  </conditionalFormatting>
  <conditionalFormatting sqref="D35:D37">
    <cfRule type="expression" dxfId="584" priority="169">
      <formula>D$5</formula>
    </cfRule>
  </conditionalFormatting>
  <conditionalFormatting sqref="D39:D41">
    <cfRule type="expression" dxfId="583" priority="168">
      <formula>D$5</formula>
    </cfRule>
  </conditionalFormatting>
  <conditionalFormatting sqref="D43:D45">
    <cfRule type="expression" dxfId="582" priority="167">
      <formula>D$5</formula>
    </cfRule>
  </conditionalFormatting>
  <conditionalFormatting sqref="D16">
    <cfRule type="expression" dxfId="581" priority="166">
      <formula>D$5</formula>
    </cfRule>
  </conditionalFormatting>
  <conditionalFormatting sqref="D18">
    <cfRule type="expression" dxfId="580" priority="165">
      <formula>D$5</formula>
    </cfRule>
  </conditionalFormatting>
  <conditionalFormatting sqref="D19">
    <cfRule type="expression" dxfId="579" priority="164">
      <formula>D$5</formula>
    </cfRule>
  </conditionalFormatting>
  <conditionalFormatting sqref="D20">
    <cfRule type="expression" dxfId="578" priority="163">
      <formula>D$5</formula>
    </cfRule>
  </conditionalFormatting>
  <conditionalFormatting sqref="D21">
    <cfRule type="expression" dxfId="577" priority="162">
      <formula>D$5</formula>
    </cfRule>
  </conditionalFormatting>
  <conditionalFormatting sqref="D22">
    <cfRule type="expression" dxfId="576" priority="161">
      <formula>D$5</formula>
    </cfRule>
  </conditionalFormatting>
  <conditionalFormatting sqref="D25">
    <cfRule type="expression" dxfId="575" priority="160">
      <formula>D$5</formula>
    </cfRule>
  </conditionalFormatting>
  <conditionalFormatting sqref="D26">
    <cfRule type="expression" dxfId="574" priority="159">
      <formula>D$5</formula>
    </cfRule>
  </conditionalFormatting>
  <conditionalFormatting sqref="D27">
    <cfRule type="expression" dxfId="573" priority="158">
      <formula>D$5</formula>
    </cfRule>
  </conditionalFormatting>
  <conditionalFormatting sqref="D28">
    <cfRule type="expression" dxfId="572" priority="157">
      <formula>D$5</formula>
    </cfRule>
  </conditionalFormatting>
  <conditionalFormatting sqref="E11">
    <cfRule type="expression" dxfId="571" priority="156">
      <formula>E$5</formula>
    </cfRule>
  </conditionalFormatting>
  <conditionalFormatting sqref="E12:E13">
    <cfRule type="expression" dxfId="570" priority="155">
      <formula>E$5</formula>
    </cfRule>
  </conditionalFormatting>
  <conditionalFormatting sqref="E31:E33">
    <cfRule type="expression" dxfId="569" priority="154">
      <formula>E$5</formula>
    </cfRule>
  </conditionalFormatting>
  <conditionalFormatting sqref="E35:E37">
    <cfRule type="expression" dxfId="568" priority="153">
      <formula>E$5</formula>
    </cfRule>
  </conditionalFormatting>
  <conditionalFormatting sqref="E39:E41">
    <cfRule type="expression" dxfId="567" priority="152">
      <formula>E$5</formula>
    </cfRule>
  </conditionalFormatting>
  <conditionalFormatting sqref="E43:E45">
    <cfRule type="expression" dxfId="566" priority="151">
      <formula>E$5</formula>
    </cfRule>
  </conditionalFormatting>
  <conditionalFormatting sqref="E16">
    <cfRule type="expression" dxfId="565" priority="150">
      <formula>E$5</formula>
    </cfRule>
  </conditionalFormatting>
  <conditionalFormatting sqref="E18">
    <cfRule type="expression" dxfId="564" priority="149">
      <formula>E$5</formula>
    </cfRule>
  </conditionalFormatting>
  <conditionalFormatting sqref="E19">
    <cfRule type="expression" dxfId="563" priority="148">
      <formula>E$5</formula>
    </cfRule>
  </conditionalFormatting>
  <conditionalFormatting sqref="E20">
    <cfRule type="expression" dxfId="562" priority="147">
      <formula>E$5</formula>
    </cfRule>
  </conditionalFormatting>
  <conditionalFormatting sqref="E21">
    <cfRule type="expression" dxfId="561" priority="146">
      <formula>E$5</formula>
    </cfRule>
  </conditionalFormatting>
  <conditionalFormatting sqref="E22">
    <cfRule type="expression" dxfId="560" priority="145">
      <formula>E$5</formula>
    </cfRule>
  </conditionalFormatting>
  <conditionalFormatting sqref="E25">
    <cfRule type="expression" dxfId="559" priority="144">
      <formula>E$5</formula>
    </cfRule>
  </conditionalFormatting>
  <conditionalFormatting sqref="E26">
    <cfRule type="expression" dxfId="558" priority="143">
      <formula>E$5</formula>
    </cfRule>
  </conditionalFormatting>
  <conditionalFormatting sqref="E27">
    <cfRule type="expression" dxfId="557" priority="142">
      <formula>E$5</formula>
    </cfRule>
  </conditionalFormatting>
  <conditionalFormatting sqref="E28">
    <cfRule type="expression" dxfId="556" priority="141">
      <formula>E$5</formula>
    </cfRule>
  </conditionalFormatting>
  <conditionalFormatting sqref="F11">
    <cfRule type="expression" dxfId="555" priority="140">
      <formula>F$5</formula>
    </cfRule>
  </conditionalFormatting>
  <conditionalFormatting sqref="F12:F13">
    <cfRule type="expression" dxfId="554" priority="139">
      <formula>F$5</formula>
    </cfRule>
  </conditionalFormatting>
  <conditionalFormatting sqref="F31:F33">
    <cfRule type="expression" dxfId="553" priority="138">
      <formula>F$5</formula>
    </cfRule>
  </conditionalFormatting>
  <conditionalFormatting sqref="F35:F37">
    <cfRule type="expression" dxfId="552" priority="137">
      <formula>F$5</formula>
    </cfRule>
  </conditionalFormatting>
  <conditionalFormatting sqref="F39:F41">
    <cfRule type="expression" dxfId="551" priority="136">
      <formula>F$5</formula>
    </cfRule>
  </conditionalFormatting>
  <conditionalFormatting sqref="F43:F45">
    <cfRule type="expression" dxfId="550" priority="135">
      <formula>F$5</formula>
    </cfRule>
  </conditionalFormatting>
  <conditionalFormatting sqref="F16">
    <cfRule type="expression" dxfId="549" priority="134">
      <formula>F$5</formula>
    </cfRule>
  </conditionalFormatting>
  <conditionalFormatting sqref="F18">
    <cfRule type="expression" dxfId="548" priority="133">
      <formula>F$5</formula>
    </cfRule>
  </conditionalFormatting>
  <conditionalFormatting sqref="F19">
    <cfRule type="expression" dxfId="547" priority="132">
      <formula>F$5</formula>
    </cfRule>
  </conditionalFormatting>
  <conditionalFormatting sqref="F20">
    <cfRule type="expression" dxfId="546" priority="131">
      <formula>F$5</formula>
    </cfRule>
  </conditionalFormatting>
  <conditionalFormatting sqref="F21">
    <cfRule type="expression" dxfId="545" priority="130">
      <formula>F$5</formula>
    </cfRule>
  </conditionalFormatting>
  <conditionalFormatting sqref="F22">
    <cfRule type="expression" dxfId="544" priority="129">
      <formula>F$5</formula>
    </cfRule>
  </conditionalFormatting>
  <conditionalFormatting sqref="F25">
    <cfRule type="expression" dxfId="543" priority="128">
      <formula>F$5</formula>
    </cfRule>
  </conditionalFormatting>
  <conditionalFormatting sqref="F26">
    <cfRule type="expression" dxfId="542" priority="127">
      <formula>F$5</formula>
    </cfRule>
  </conditionalFormatting>
  <conditionalFormatting sqref="F27">
    <cfRule type="expression" dxfId="541" priority="126">
      <formula>F$5</formula>
    </cfRule>
  </conditionalFormatting>
  <conditionalFormatting sqref="F28">
    <cfRule type="expression" dxfId="540" priority="125">
      <formula>F$5</formula>
    </cfRule>
  </conditionalFormatting>
  <conditionalFormatting sqref="G11">
    <cfRule type="expression" dxfId="539" priority="124">
      <formula>G$5</formula>
    </cfRule>
  </conditionalFormatting>
  <conditionalFormatting sqref="G12:G13">
    <cfRule type="expression" dxfId="538" priority="123">
      <formula>G$5</formula>
    </cfRule>
  </conditionalFormatting>
  <conditionalFormatting sqref="G31:G33">
    <cfRule type="expression" dxfId="537" priority="122">
      <formula>G$5</formula>
    </cfRule>
  </conditionalFormatting>
  <conditionalFormatting sqref="G35:G37">
    <cfRule type="expression" dxfId="536" priority="121">
      <formula>G$5</formula>
    </cfRule>
  </conditionalFormatting>
  <conditionalFormatting sqref="G39:G41">
    <cfRule type="expression" dxfId="535" priority="120">
      <formula>G$5</formula>
    </cfRule>
  </conditionalFormatting>
  <conditionalFormatting sqref="G43:G45">
    <cfRule type="expression" dxfId="534" priority="119">
      <formula>G$5</formula>
    </cfRule>
  </conditionalFormatting>
  <conditionalFormatting sqref="G16">
    <cfRule type="expression" dxfId="533" priority="118">
      <formula>G$5</formula>
    </cfRule>
  </conditionalFormatting>
  <conditionalFormatting sqref="G18">
    <cfRule type="expression" dxfId="532" priority="117">
      <formula>G$5</formula>
    </cfRule>
  </conditionalFormatting>
  <conditionalFormatting sqref="G19">
    <cfRule type="expression" dxfId="531" priority="116">
      <formula>G$5</formula>
    </cfRule>
  </conditionalFormatting>
  <conditionalFormatting sqref="G20">
    <cfRule type="expression" dxfId="530" priority="115">
      <formula>G$5</formula>
    </cfRule>
  </conditionalFormatting>
  <conditionalFormatting sqref="G21">
    <cfRule type="expression" dxfId="529" priority="114">
      <formula>G$5</formula>
    </cfRule>
  </conditionalFormatting>
  <conditionalFormatting sqref="G22">
    <cfRule type="expression" dxfId="528" priority="113">
      <formula>G$5</formula>
    </cfRule>
  </conditionalFormatting>
  <conditionalFormatting sqref="G25">
    <cfRule type="expression" dxfId="527" priority="112">
      <formula>G$5</formula>
    </cfRule>
  </conditionalFormatting>
  <conditionalFormatting sqref="G26">
    <cfRule type="expression" dxfId="526" priority="111">
      <formula>G$5</formula>
    </cfRule>
  </conditionalFormatting>
  <conditionalFormatting sqref="G27">
    <cfRule type="expression" dxfId="525" priority="110">
      <formula>G$5</formula>
    </cfRule>
  </conditionalFormatting>
  <conditionalFormatting sqref="G28">
    <cfRule type="expression" dxfId="524" priority="109">
      <formula>G$5</formula>
    </cfRule>
  </conditionalFormatting>
  <conditionalFormatting sqref="H11">
    <cfRule type="expression" dxfId="523" priority="108">
      <formula>H$5</formula>
    </cfRule>
  </conditionalFormatting>
  <conditionalFormatting sqref="H12:H13">
    <cfRule type="expression" dxfId="522" priority="107">
      <formula>H$5</formula>
    </cfRule>
  </conditionalFormatting>
  <conditionalFormatting sqref="H31:H33">
    <cfRule type="expression" dxfId="521" priority="106">
      <formula>H$5</formula>
    </cfRule>
  </conditionalFormatting>
  <conditionalFormatting sqref="H35:H37">
    <cfRule type="expression" dxfId="520" priority="105">
      <formula>H$5</formula>
    </cfRule>
  </conditionalFormatting>
  <conditionalFormatting sqref="H39:H41">
    <cfRule type="expression" dxfId="519" priority="104">
      <formula>H$5</formula>
    </cfRule>
  </conditionalFormatting>
  <conditionalFormatting sqref="H43:H45">
    <cfRule type="expression" dxfId="518" priority="103">
      <formula>H$5</formula>
    </cfRule>
  </conditionalFormatting>
  <conditionalFormatting sqref="H16">
    <cfRule type="expression" dxfId="517" priority="102">
      <formula>H$5</formula>
    </cfRule>
  </conditionalFormatting>
  <conditionalFormatting sqref="H18">
    <cfRule type="expression" dxfId="516" priority="101">
      <formula>H$5</formula>
    </cfRule>
  </conditionalFormatting>
  <conditionalFormatting sqref="H19">
    <cfRule type="expression" dxfId="515" priority="100">
      <formula>H$5</formula>
    </cfRule>
  </conditionalFormatting>
  <conditionalFormatting sqref="H20">
    <cfRule type="expression" dxfId="514" priority="99">
      <formula>H$5</formula>
    </cfRule>
  </conditionalFormatting>
  <conditionalFormatting sqref="H21">
    <cfRule type="expression" dxfId="513" priority="98">
      <formula>H$5</formula>
    </cfRule>
  </conditionalFormatting>
  <conditionalFormatting sqref="H22">
    <cfRule type="expression" dxfId="512" priority="97">
      <formula>H$5</formula>
    </cfRule>
  </conditionalFormatting>
  <conditionalFormatting sqref="H25">
    <cfRule type="expression" dxfId="511" priority="96">
      <formula>H$5</formula>
    </cfRule>
  </conditionalFormatting>
  <conditionalFormatting sqref="H26">
    <cfRule type="expression" dxfId="510" priority="95">
      <formula>H$5</formula>
    </cfRule>
  </conditionalFormatting>
  <conditionalFormatting sqref="H27">
    <cfRule type="expression" dxfId="509" priority="94">
      <formula>H$5</formula>
    </cfRule>
  </conditionalFormatting>
  <conditionalFormatting sqref="H28">
    <cfRule type="expression" dxfId="508" priority="93">
      <formula>H$5</formula>
    </cfRule>
  </conditionalFormatting>
  <conditionalFormatting sqref="I11">
    <cfRule type="expression" dxfId="507" priority="92">
      <formula>I$5</formula>
    </cfRule>
  </conditionalFormatting>
  <conditionalFormatting sqref="I12:I13">
    <cfRule type="expression" dxfId="506" priority="91">
      <formula>I$5</formula>
    </cfRule>
  </conditionalFormatting>
  <conditionalFormatting sqref="I31:I33">
    <cfRule type="expression" dxfId="505" priority="90">
      <formula>I$5</formula>
    </cfRule>
  </conditionalFormatting>
  <conditionalFormatting sqref="I35:I37">
    <cfRule type="expression" dxfId="504" priority="89">
      <formula>I$5</formula>
    </cfRule>
  </conditionalFormatting>
  <conditionalFormatting sqref="I39:I41">
    <cfRule type="expression" dxfId="503" priority="88">
      <formula>I$5</formula>
    </cfRule>
  </conditionalFormatting>
  <conditionalFormatting sqref="I43:I45">
    <cfRule type="expression" dxfId="502" priority="87">
      <formula>I$5</formula>
    </cfRule>
  </conditionalFormatting>
  <conditionalFormatting sqref="I16">
    <cfRule type="expression" dxfId="501" priority="86">
      <formula>I$5</formula>
    </cfRule>
  </conditionalFormatting>
  <conditionalFormatting sqref="I18">
    <cfRule type="expression" dxfId="500" priority="85">
      <formula>I$5</formula>
    </cfRule>
  </conditionalFormatting>
  <conditionalFormatting sqref="I19">
    <cfRule type="expression" dxfId="499" priority="84">
      <formula>I$5</formula>
    </cfRule>
  </conditionalFormatting>
  <conditionalFormatting sqref="I20">
    <cfRule type="expression" dxfId="498" priority="83">
      <formula>I$5</formula>
    </cfRule>
  </conditionalFormatting>
  <conditionalFormatting sqref="I21">
    <cfRule type="expression" dxfId="497" priority="82">
      <formula>I$5</formula>
    </cfRule>
  </conditionalFormatting>
  <conditionalFormatting sqref="I22">
    <cfRule type="expression" dxfId="496" priority="81">
      <formula>I$5</formula>
    </cfRule>
  </conditionalFormatting>
  <conditionalFormatting sqref="I25">
    <cfRule type="expression" dxfId="495" priority="80">
      <formula>I$5</formula>
    </cfRule>
  </conditionalFormatting>
  <conditionalFormatting sqref="I26">
    <cfRule type="expression" dxfId="494" priority="79">
      <formula>I$5</formula>
    </cfRule>
  </conditionalFormatting>
  <conditionalFormatting sqref="I27">
    <cfRule type="expression" dxfId="493" priority="78">
      <formula>I$5</formula>
    </cfRule>
  </conditionalFormatting>
  <conditionalFormatting sqref="I28">
    <cfRule type="expression" dxfId="492" priority="77">
      <formula>I$5</formula>
    </cfRule>
  </conditionalFormatting>
  <conditionalFormatting sqref="J11">
    <cfRule type="expression" dxfId="491" priority="76">
      <formula>J$5</formula>
    </cfRule>
  </conditionalFormatting>
  <conditionalFormatting sqref="J12:J13">
    <cfRule type="expression" dxfId="490" priority="75">
      <formula>J$5</formula>
    </cfRule>
  </conditionalFormatting>
  <conditionalFormatting sqref="J31:J33">
    <cfRule type="expression" dxfId="489" priority="74">
      <formula>J$5</formula>
    </cfRule>
  </conditionalFormatting>
  <conditionalFormatting sqref="J35:J37">
    <cfRule type="expression" dxfId="488" priority="73">
      <formula>J$5</formula>
    </cfRule>
  </conditionalFormatting>
  <conditionalFormatting sqref="J39:J41">
    <cfRule type="expression" dxfId="487" priority="72">
      <formula>J$5</formula>
    </cfRule>
  </conditionalFormatting>
  <conditionalFormatting sqref="J43:J45">
    <cfRule type="expression" dxfId="486" priority="71">
      <formula>J$5</formula>
    </cfRule>
  </conditionalFormatting>
  <conditionalFormatting sqref="J16">
    <cfRule type="expression" dxfId="485" priority="70">
      <formula>J$5</formula>
    </cfRule>
  </conditionalFormatting>
  <conditionalFormatting sqref="J18">
    <cfRule type="expression" dxfId="484" priority="69">
      <formula>J$5</formula>
    </cfRule>
  </conditionalFormatting>
  <conditionalFormatting sqref="J19">
    <cfRule type="expression" dxfId="483" priority="68">
      <formula>J$5</formula>
    </cfRule>
  </conditionalFormatting>
  <conditionalFormatting sqref="J20">
    <cfRule type="expression" dxfId="482" priority="67">
      <formula>J$5</formula>
    </cfRule>
  </conditionalFormatting>
  <conditionalFormatting sqref="J21">
    <cfRule type="expression" dxfId="481" priority="66">
      <formula>J$5</formula>
    </cfRule>
  </conditionalFormatting>
  <conditionalFormatting sqref="J22">
    <cfRule type="expression" dxfId="480" priority="65">
      <formula>J$5</formula>
    </cfRule>
  </conditionalFormatting>
  <conditionalFormatting sqref="J25">
    <cfRule type="expression" dxfId="479" priority="64">
      <formula>J$5</formula>
    </cfRule>
  </conditionalFormatting>
  <conditionalFormatting sqref="J26">
    <cfRule type="expression" dxfId="478" priority="63">
      <formula>J$5</formula>
    </cfRule>
  </conditionalFormatting>
  <conditionalFormatting sqref="J27">
    <cfRule type="expression" dxfId="477" priority="62">
      <formula>J$5</formula>
    </cfRule>
  </conditionalFormatting>
  <conditionalFormatting sqref="J28">
    <cfRule type="expression" dxfId="476" priority="61">
      <formula>J$5</formula>
    </cfRule>
  </conditionalFormatting>
  <conditionalFormatting sqref="K11">
    <cfRule type="expression" dxfId="475" priority="60">
      <formula>K$5</formula>
    </cfRule>
  </conditionalFormatting>
  <conditionalFormatting sqref="K12:K13">
    <cfRule type="expression" dxfId="474" priority="59">
      <formula>K$5</formula>
    </cfRule>
  </conditionalFormatting>
  <conditionalFormatting sqref="K31:K33">
    <cfRule type="expression" dxfId="473" priority="58">
      <formula>K$5</formula>
    </cfRule>
  </conditionalFormatting>
  <conditionalFormatting sqref="K35:K37">
    <cfRule type="expression" dxfId="472" priority="57">
      <formula>K$5</formula>
    </cfRule>
  </conditionalFormatting>
  <conditionalFormatting sqref="K39:K41">
    <cfRule type="expression" dxfId="471" priority="56">
      <formula>K$5</formula>
    </cfRule>
  </conditionalFormatting>
  <conditionalFormatting sqref="K43:K45">
    <cfRule type="expression" dxfId="470" priority="55">
      <formula>K$5</formula>
    </cfRule>
  </conditionalFormatting>
  <conditionalFormatting sqref="K16">
    <cfRule type="expression" dxfId="469" priority="54">
      <formula>K$5</formula>
    </cfRule>
  </conditionalFormatting>
  <conditionalFormatting sqref="K18">
    <cfRule type="expression" dxfId="468" priority="53">
      <formula>K$5</formula>
    </cfRule>
  </conditionalFormatting>
  <conditionalFormatting sqref="K19">
    <cfRule type="expression" dxfId="467" priority="52">
      <formula>K$5</formula>
    </cfRule>
  </conditionalFormatting>
  <conditionalFormatting sqref="K20">
    <cfRule type="expression" dxfId="466" priority="51">
      <formula>K$5</formula>
    </cfRule>
  </conditionalFormatting>
  <conditionalFormatting sqref="K21">
    <cfRule type="expression" dxfId="465" priority="50">
      <formula>K$5</formula>
    </cfRule>
  </conditionalFormatting>
  <conditionalFormatting sqref="K22">
    <cfRule type="expression" dxfId="464" priority="49">
      <formula>K$5</formula>
    </cfRule>
  </conditionalFormatting>
  <conditionalFormatting sqref="K25">
    <cfRule type="expression" dxfId="463" priority="48">
      <formula>K$5</formula>
    </cfRule>
  </conditionalFormatting>
  <conditionalFormatting sqref="K26">
    <cfRule type="expression" dxfId="462" priority="47">
      <formula>K$5</formula>
    </cfRule>
  </conditionalFormatting>
  <conditionalFormatting sqref="K27">
    <cfRule type="expression" dxfId="461" priority="46">
      <formula>K$5</formula>
    </cfRule>
  </conditionalFormatting>
  <conditionalFormatting sqref="K28">
    <cfRule type="expression" dxfId="460" priority="45">
      <formula>K$5</formula>
    </cfRule>
  </conditionalFormatting>
  <conditionalFormatting sqref="L11">
    <cfRule type="expression" dxfId="459" priority="44">
      <formula>L$5</formula>
    </cfRule>
  </conditionalFormatting>
  <conditionalFormatting sqref="L12:L13">
    <cfRule type="expression" dxfId="458" priority="43">
      <formula>L$5</formula>
    </cfRule>
  </conditionalFormatting>
  <conditionalFormatting sqref="L31:L33">
    <cfRule type="expression" dxfId="457" priority="42">
      <formula>L$5</formula>
    </cfRule>
  </conditionalFormatting>
  <conditionalFormatting sqref="L35:L37">
    <cfRule type="expression" dxfId="456" priority="41">
      <formula>L$5</formula>
    </cfRule>
  </conditionalFormatting>
  <conditionalFormatting sqref="L39:L41">
    <cfRule type="expression" dxfId="455" priority="40">
      <formula>L$5</formula>
    </cfRule>
  </conditionalFormatting>
  <conditionalFormatting sqref="L43:L45">
    <cfRule type="expression" dxfId="454" priority="39">
      <formula>L$5</formula>
    </cfRule>
  </conditionalFormatting>
  <conditionalFormatting sqref="L16">
    <cfRule type="expression" dxfId="453" priority="38">
      <formula>L$5</formula>
    </cfRule>
  </conditionalFormatting>
  <conditionalFormatting sqref="L18">
    <cfRule type="expression" dxfId="452" priority="37">
      <formula>L$5</formula>
    </cfRule>
  </conditionalFormatting>
  <conditionalFormatting sqref="L19">
    <cfRule type="expression" dxfId="451" priority="36">
      <formula>L$5</formula>
    </cfRule>
  </conditionalFormatting>
  <conditionalFormatting sqref="L20">
    <cfRule type="expression" dxfId="450" priority="35">
      <formula>L$5</formula>
    </cfRule>
  </conditionalFormatting>
  <conditionalFormatting sqref="L21">
    <cfRule type="expression" dxfId="449" priority="34">
      <formula>L$5</formula>
    </cfRule>
  </conditionalFormatting>
  <conditionalFormatting sqref="L22">
    <cfRule type="expression" dxfId="448" priority="33">
      <formula>L$5</formula>
    </cfRule>
  </conditionalFormatting>
  <conditionalFormatting sqref="L25">
    <cfRule type="expression" dxfId="447" priority="32">
      <formula>L$5</formula>
    </cfRule>
  </conditionalFormatting>
  <conditionalFormatting sqref="L26">
    <cfRule type="expression" dxfId="446" priority="31">
      <formula>L$5</formula>
    </cfRule>
  </conditionalFormatting>
  <conditionalFormatting sqref="L27">
    <cfRule type="expression" dxfId="445" priority="30">
      <formula>L$5</formula>
    </cfRule>
  </conditionalFormatting>
  <conditionalFormatting sqref="L28">
    <cfRule type="expression" dxfId="444" priority="29">
      <formula>L$5</formula>
    </cfRule>
  </conditionalFormatting>
  <conditionalFormatting sqref="D17">
    <cfRule type="expression" dxfId="443" priority="28">
      <formula>D$5</formula>
    </cfRule>
  </conditionalFormatting>
  <conditionalFormatting sqref="E17">
    <cfRule type="expression" dxfId="442" priority="27">
      <formula>E$5</formula>
    </cfRule>
  </conditionalFormatting>
  <conditionalFormatting sqref="F17">
    <cfRule type="expression" dxfId="441" priority="26">
      <formula>F$5</formula>
    </cfRule>
  </conditionalFormatting>
  <conditionalFormatting sqref="C9">
    <cfRule type="expression" dxfId="440" priority="25">
      <formula>$C$6</formula>
    </cfRule>
  </conditionalFormatting>
  <conditionalFormatting sqref="D9">
    <cfRule type="expression" dxfId="439" priority="24">
      <formula>D$6</formula>
    </cfRule>
  </conditionalFormatting>
  <conditionalFormatting sqref="E9">
    <cfRule type="expression" dxfId="438" priority="23">
      <formula>E$6</formula>
    </cfRule>
  </conditionalFormatting>
  <conditionalFormatting sqref="F9">
    <cfRule type="expression" dxfId="437" priority="22">
      <formula>F$6</formula>
    </cfRule>
  </conditionalFormatting>
  <conditionalFormatting sqref="G9">
    <cfRule type="expression" dxfId="436" priority="21">
      <formula>G$6</formula>
    </cfRule>
  </conditionalFormatting>
  <conditionalFormatting sqref="H9">
    <cfRule type="expression" dxfId="435" priority="20">
      <formula>H$6</formula>
    </cfRule>
  </conditionalFormatting>
  <conditionalFormatting sqref="I9">
    <cfRule type="expression" dxfId="434" priority="19">
      <formula>I$6</formula>
    </cfRule>
  </conditionalFormatting>
  <conditionalFormatting sqref="J9">
    <cfRule type="expression" dxfId="433" priority="18">
      <formula>J$6</formula>
    </cfRule>
  </conditionalFormatting>
  <conditionalFormatting sqref="K9">
    <cfRule type="expression" dxfId="432" priority="17">
      <formula>K$6</formula>
    </cfRule>
  </conditionalFormatting>
  <conditionalFormatting sqref="L9">
    <cfRule type="expression" dxfId="431" priority="16">
      <formula>L$6</formula>
    </cfRule>
  </conditionalFormatting>
  <conditionalFormatting sqref="C8">
    <cfRule type="expression" dxfId="430" priority="190">
      <formula>C$3</formula>
    </cfRule>
  </conditionalFormatting>
  <conditionalFormatting sqref="D8">
    <cfRule type="expression" dxfId="429" priority="15">
      <formula>D$3</formula>
    </cfRule>
  </conditionalFormatting>
  <conditionalFormatting sqref="E8">
    <cfRule type="expression" dxfId="428" priority="14">
      <formula>E$3</formula>
    </cfRule>
  </conditionalFormatting>
  <conditionalFormatting sqref="F8">
    <cfRule type="expression" dxfId="427" priority="13">
      <formula>F$3</formula>
    </cfRule>
  </conditionalFormatting>
  <conditionalFormatting sqref="G8">
    <cfRule type="expression" dxfId="426" priority="12">
      <formula>G$3</formula>
    </cfRule>
  </conditionalFormatting>
  <conditionalFormatting sqref="H8">
    <cfRule type="expression" dxfId="425" priority="11">
      <formula>H$3</formula>
    </cfRule>
  </conditionalFormatting>
  <conditionalFormatting sqref="I8">
    <cfRule type="expression" dxfId="424" priority="10">
      <formula>I$3</formula>
    </cfRule>
  </conditionalFormatting>
  <conditionalFormatting sqref="J8">
    <cfRule type="expression" dxfId="423" priority="9">
      <formula>J$3</formula>
    </cfRule>
  </conditionalFormatting>
  <conditionalFormatting sqref="K8">
    <cfRule type="expression" dxfId="422" priority="8">
      <formula>K$3</formula>
    </cfRule>
  </conditionalFormatting>
  <conditionalFormatting sqref="L8">
    <cfRule type="expression" dxfId="421" priority="7">
      <formula>L$3</formula>
    </cfRule>
  </conditionalFormatting>
  <conditionalFormatting sqref="G17">
    <cfRule type="expression" dxfId="420" priority="6">
      <formula>G$5</formula>
    </cfRule>
  </conditionalFormatting>
  <conditionalFormatting sqref="H17">
    <cfRule type="expression" dxfId="419" priority="5">
      <formula>H$5</formula>
    </cfRule>
  </conditionalFormatting>
  <conditionalFormatting sqref="I17">
    <cfRule type="expression" dxfId="418" priority="4">
      <formula>I$5</formula>
    </cfRule>
  </conditionalFormatting>
  <conditionalFormatting sqref="J17">
    <cfRule type="expression" dxfId="417" priority="3">
      <formula>J$5</formula>
    </cfRule>
  </conditionalFormatting>
  <conditionalFormatting sqref="K17">
    <cfRule type="expression" dxfId="416" priority="2">
      <formula>K$5</formula>
    </cfRule>
  </conditionalFormatting>
  <conditionalFormatting sqref="L17">
    <cfRule type="expression" dxfId="415" priority="1">
      <formula>L$5</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Admin!$E$7:$E$8</xm:f>
          </x14:formula1>
          <xm:sqref>C22:L22</xm:sqref>
        </x14:dataValidation>
        <x14:dataValidation type="list" allowBlank="1" showInputMessage="1" showErrorMessage="1">
          <x14:formula1>
            <xm:f>Admin!$E$2:$E$4</xm:f>
          </x14:formula1>
          <xm:sqref>C16:L16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26"/>
  <sheetViews>
    <sheetView topLeftCell="A7" workbookViewId="0">
      <selection activeCell="C26" sqref="C26"/>
    </sheetView>
  </sheetViews>
  <sheetFormatPr defaultColWidth="9.140625" defaultRowHeight="15" x14ac:dyDescent="0.25"/>
  <cols>
    <col min="1" max="1" width="19.5703125" style="6" customWidth="1"/>
    <col min="2" max="2" width="41.28515625" style="6" customWidth="1"/>
    <col min="3" max="12" width="20.5703125" style="6" customWidth="1"/>
    <col min="13" max="16384" width="9.140625" style="6"/>
  </cols>
  <sheetData>
    <row r="1" spans="1:12" ht="15.75" thickBot="1" x14ac:dyDescent="0.3">
      <c r="A1" s="10" t="s">
        <v>136</v>
      </c>
      <c r="C1" s="60">
        <f>SUM(C2:L2)</f>
        <v>0</v>
      </c>
    </row>
    <row r="2" spans="1:12" hidden="1" x14ac:dyDescent="0.25">
      <c r="A2" s="26" t="s">
        <v>48</v>
      </c>
      <c r="B2" s="39"/>
      <c r="C2" s="24">
        <f>IF(C5=TRUE,C11*C12+C13+IF(C16=Admin!C38,IF(C19&gt;0,C17*C18*(C20/C19),0),C17*C18)+IF(C22=Admin!C38,IF(C25&gt;0,WaterQualityFees!C23*WaterQualityFees!C24*(WaterQualityFees!C26/WaterQualityFees!C25),0),WaterQualityFees!C23*WaterQualityFees!C24),0)</f>
        <v>0</v>
      </c>
      <c r="D2" s="24">
        <f>IF(D5=TRUE,D11*D12+D13+IF(D16=Admin!D38,IF(D19&gt;0,D17*D18*(D20/D19),0),D17*D18)+IF(D22=Admin!D38,IF(D25&gt;0,WaterQualityFees!D23*WaterQualityFees!D24*(WaterQualityFees!D26/WaterQualityFees!D25),0),WaterQualityFees!D23*WaterQualityFees!D24),0)</f>
        <v>0</v>
      </c>
      <c r="E2" s="24">
        <f>IF(E5=TRUE,E11*E12+E13+IF(E16=Admin!E38,IF(E19&gt;0,E17*E18*(E20/E19),0),E17*E18)+IF(E22=Admin!E38,IF(E25&gt;0,WaterQualityFees!E23*WaterQualityFees!E24*(WaterQualityFees!E26/WaterQualityFees!E25),0),WaterQualityFees!E23*WaterQualityFees!E24),0)</f>
        <v>0</v>
      </c>
      <c r="F2" s="24">
        <f>IF(F5=TRUE,F11*F12+F13+IF(F16=Admin!F38,IF(F19&gt;0,F17*F18*(F20/F19),0),F17*F18)+IF(F22=Admin!F38,IF(F25&gt;0,WaterQualityFees!F23*WaterQualityFees!F24*(WaterQualityFees!F26/WaterQualityFees!F25),0),WaterQualityFees!F23*WaterQualityFees!F24),0)</f>
        <v>0</v>
      </c>
      <c r="G2" s="24">
        <f>IF(G5=TRUE,G11*G12+G13+IF(G16=Admin!G38,IF(G19&gt;0,G17*G18*(G20/G19),0),G17*G18)+IF(G22=Admin!G38,IF(G25&gt;0,WaterQualityFees!G23*WaterQualityFees!G24*(WaterQualityFees!G26/WaterQualityFees!G25),0),WaterQualityFees!G23*WaterQualityFees!G24),0)</f>
        <v>0</v>
      </c>
      <c r="H2" s="24">
        <f>IF(H5=TRUE,H11*H12+H13+IF(H16=Admin!H38,IF(H19&gt;0,H17*H18*(H20/H19),0),H17*H18)+IF(H22=Admin!H38,IF(H25&gt;0,WaterQualityFees!H23*WaterQualityFees!H24*(WaterQualityFees!H26/WaterQualityFees!H25),0),WaterQualityFees!H23*WaterQualityFees!H24),0)</f>
        <v>0</v>
      </c>
      <c r="I2" s="24">
        <f>IF(I5=TRUE,I11*I12+I13+IF(I16=Admin!I38,IF(I19&gt;0,I17*I18*(I20/I19),0),I17*I18)+IF(I22=Admin!I38,IF(I25&gt;0,WaterQualityFees!I23*WaterQualityFees!I24*(WaterQualityFees!I26/WaterQualityFees!I25),0),WaterQualityFees!I23*WaterQualityFees!I24),0)</f>
        <v>0</v>
      </c>
      <c r="J2" s="24">
        <f>IF(J5=TRUE,J11*J12+J13+IF(J16=Admin!J38,IF(J19&gt;0,J17*J18*(J20/J19),0),J17*J18)+IF(J22=Admin!J38,IF(J25&gt;0,WaterQualityFees!J23*WaterQualityFees!J24*(WaterQualityFees!J26/WaterQualityFees!J25),0),WaterQualityFees!J23*WaterQualityFees!J24),0)</f>
        <v>0</v>
      </c>
      <c r="K2" s="24">
        <f>IF(K5=TRUE,K11*K12+K13+IF(K16=Admin!K38,IF(K19&gt;0,K17*K18*(K20/K19),0),K17*K18)+IF(K22=Admin!K38,IF(K25&gt;0,WaterQualityFees!K23*WaterQualityFees!K24*(WaterQualityFees!K26/WaterQualityFees!K25),0),WaterQualityFees!K23*WaterQualityFees!K24),0)</f>
        <v>0</v>
      </c>
      <c r="L2" s="24">
        <f>IF(L5=TRUE,L11*L12+L13+IF(L16=Admin!L38,IF(L19&gt;0,L17*L18*(L20/L19),0),L17*L18)+IF(L22=Admin!L38,IF(L25&gt;0,WaterQualityFees!L23*WaterQualityFees!L24*(WaterQualityFees!L26/WaterQualityFees!L25),0),WaterQualityFees!L23*WaterQualityFees!L24),0)</f>
        <v>0</v>
      </c>
    </row>
    <row r="3" spans="1:12" hidden="1" x14ac:dyDescent="0.25">
      <c r="A3" s="26" t="s">
        <v>49</v>
      </c>
      <c r="B3" s="37"/>
      <c r="C3" s="27" t="b">
        <f>IF(TotalEntities&gt;=1,TRUE,FALSE)</f>
        <v>1</v>
      </c>
      <c r="D3" s="27" t="b">
        <f>IF(TotalEntities&gt;=2,TRUE,FALSE)</f>
        <v>1</v>
      </c>
      <c r="E3" s="27" t="b">
        <f>IF(TotalEntities&gt;=3,TRUE,FALSE)</f>
        <v>1</v>
      </c>
      <c r="F3" s="27" t="b">
        <f>IF(TotalEntities&gt;=4,TRUE,FALSE)</f>
        <v>1</v>
      </c>
      <c r="G3" s="27" t="b">
        <f>IF(TotalEntities&gt;=5,TRUE,FALSE)</f>
        <v>1</v>
      </c>
      <c r="H3" s="27" t="b">
        <f>IF(TotalEntities&gt;=6,TRUE,FALSE)</f>
        <v>1</v>
      </c>
      <c r="I3" s="27" t="b">
        <f>IF(TotalEntities&gt;=7,TRUE,FALSE)</f>
        <v>0</v>
      </c>
      <c r="J3" s="27" t="b">
        <f>IF(TotalEntities&gt;=8,TRUE,FALSE)</f>
        <v>0</v>
      </c>
      <c r="K3" s="27" t="b">
        <f>IF(TotalEntities&gt;=9,TRUE,FALSE)</f>
        <v>0</v>
      </c>
      <c r="L3" s="27" t="b">
        <f>IF(TotalEntities&gt;=10,TRUE,FALSE)</f>
        <v>0</v>
      </c>
    </row>
    <row r="4" spans="1:12" ht="14.45" hidden="1" x14ac:dyDescent="0.3">
      <c r="A4" s="26" t="s">
        <v>50</v>
      </c>
      <c r="B4" s="37">
        <v>6</v>
      </c>
      <c r="C4" s="27" t="b">
        <f>VLOOKUP(GettingStarted!D8,Admin!$A$27:$J$34,$B$4, FALSE)</f>
        <v>1</v>
      </c>
      <c r="D4" s="27" t="b">
        <f>VLOOKUP(GettingStarted!D9,Admin!$A$27:$J$34,$B$4, FALSE)</f>
        <v>1</v>
      </c>
      <c r="E4" s="27" t="b">
        <f>VLOOKUP(GettingStarted!D10,Admin!$A$27:$J$34,$B$4, FALSE)</f>
        <v>1</v>
      </c>
      <c r="F4" s="27" t="b">
        <f>VLOOKUP(GettingStarted!D11,Admin!$A$27:$J$34,$B$4, FALSE)</f>
        <v>0</v>
      </c>
      <c r="G4" s="27" t="b">
        <f>VLOOKUP(GettingStarted!D12,Admin!$A$27:$J$34,$B$4, FALSE)</f>
        <v>0</v>
      </c>
      <c r="H4" s="27" t="b">
        <f>VLOOKUP(GettingStarted!D13,Admin!$A$27:$J$34,$B$4, FALSE)</f>
        <v>0</v>
      </c>
      <c r="I4" s="27" t="e">
        <f>VLOOKUP(GettingStarted!D14,Admin!$A$27:$J$34,$B$4, FALSE)</f>
        <v>#N/A</v>
      </c>
      <c r="J4" s="27" t="e">
        <f>VLOOKUP(GettingStarted!D15,Admin!$A$27:$J$34,$B$4, FALSE)</f>
        <v>#N/A</v>
      </c>
      <c r="K4" s="27" t="e">
        <f>VLOOKUP(GettingStarted!D16,Admin!$A$27:$J$34,$B$4, FALSE)</f>
        <v>#N/A</v>
      </c>
      <c r="L4" s="27" t="e">
        <f>VLOOKUP(GettingStarted!D17,Admin!$A$27:$J$34,$B$4, FALSE)</f>
        <v>#N/A</v>
      </c>
    </row>
    <row r="5" spans="1:12" ht="14.45" hidden="1" x14ac:dyDescent="0.3">
      <c r="A5" s="26" t="s">
        <v>58</v>
      </c>
      <c r="B5" s="37"/>
      <c r="C5" s="27" t="b">
        <f>IF(C3=TRUE,IF(C4=TRUE,TRUE,FALSE),FALSE)</f>
        <v>1</v>
      </c>
      <c r="D5" s="27" t="b">
        <f t="shared" ref="D5:L5" si="0">IF(D3=TRUE,IF(D4=TRUE,TRUE,FALSE),FALSE)</f>
        <v>1</v>
      </c>
      <c r="E5" s="27" t="b">
        <f t="shared" si="0"/>
        <v>1</v>
      </c>
      <c r="F5" s="27" t="b">
        <f t="shared" si="0"/>
        <v>0</v>
      </c>
      <c r="G5" s="27" t="b">
        <f t="shared" si="0"/>
        <v>0</v>
      </c>
      <c r="H5" s="27" t="b">
        <f t="shared" si="0"/>
        <v>0</v>
      </c>
      <c r="I5" s="27" t="b">
        <f t="shared" si="0"/>
        <v>0</v>
      </c>
      <c r="J5" s="27" t="b">
        <f t="shared" si="0"/>
        <v>0</v>
      </c>
      <c r="K5" s="27" t="b">
        <f t="shared" si="0"/>
        <v>0</v>
      </c>
      <c r="L5" s="27" t="b">
        <f t="shared" si="0"/>
        <v>0</v>
      </c>
    </row>
    <row r="6" spans="1:12" ht="14.45" hidden="1" x14ac:dyDescent="0.3">
      <c r="A6" s="26" t="s">
        <v>60</v>
      </c>
      <c r="B6" s="37"/>
      <c r="C6" s="27" t="b">
        <f>IF(C3=TRUE,IF(C5=FALSE,TRUE,FALSE),FALSE)</f>
        <v>0</v>
      </c>
      <c r="D6" s="27" t="b">
        <f t="shared" ref="D6:L6" si="1">IF(D3=TRUE,IF(D5=FALSE,TRUE,FALSE),FALSE)</f>
        <v>0</v>
      </c>
      <c r="E6" s="27" t="b">
        <f t="shared" si="1"/>
        <v>0</v>
      </c>
      <c r="F6" s="27" t="b">
        <f t="shared" si="1"/>
        <v>1</v>
      </c>
      <c r="G6" s="27" t="b">
        <f t="shared" si="1"/>
        <v>1</v>
      </c>
      <c r="H6" s="27" t="b">
        <f t="shared" si="1"/>
        <v>1</v>
      </c>
      <c r="I6" s="27" t="b">
        <f t="shared" si="1"/>
        <v>0</v>
      </c>
      <c r="J6" s="27" t="b">
        <f t="shared" si="1"/>
        <v>0</v>
      </c>
      <c r="K6" s="27" t="b">
        <f t="shared" si="1"/>
        <v>0</v>
      </c>
      <c r="L6" s="27" t="b">
        <f t="shared" si="1"/>
        <v>0</v>
      </c>
    </row>
    <row r="7" spans="1:12" ht="14.45" x14ac:dyDescent="0.3">
      <c r="A7" s="96"/>
      <c r="B7" s="37"/>
      <c r="C7" s="27"/>
      <c r="D7" s="27"/>
      <c r="E7" s="27"/>
      <c r="F7" s="27"/>
      <c r="G7" s="27"/>
      <c r="H7" s="27"/>
      <c r="I7" s="27"/>
      <c r="J7" s="27"/>
      <c r="K7" s="27"/>
      <c r="L7" s="27"/>
    </row>
    <row r="8" spans="1:12" s="130" customFormat="1" ht="45" customHeight="1" x14ac:dyDescent="0.3">
      <c r="A8" s="129" t="s">
        <v>47</v>
      </c>
      <c r="C8" s="131" t="str">
        <f>IF(C3=TRUE,entity1,"")</f>
        <v>Oxbow County</v>
      </c>
      <c r="D8" s="131" t="str">
        <f>IF(D3=TRUE,entity2,"")</f>
        <v>City of Pool</v>
      </c>
      <c r="E8" s="131" t="str">
        <f>IF(E3=TRUE,entity3,"")</f>
        <v>City of Riffle</v>
      </c>
      <c r="F8" s="131" t="str">
        <f>IF(F3=TRUE,entity4,"")</f>
        <v>Wishful Watershed Council</v>
      </c>
      <c r="G8" s="131" t="str">
        <f>IF(G3=TRUE,entity5,"")</f>
        <v>Council of Government</v>
      </c>
      <c r="H8" s="131" t="str">
        <f>IF(H3=TRUE,entity6,"")</f>
        <v>Soil &amp; Water Conservation</v>
      </c>
      <c r="I8" s="131" t="str">
        <f>IF(I3=TRUE,entity7,"")</f>
        <v/>
      </c>
      <c r="J8" s="131" t="str">
        <f>IF(J3=TRUE,entity8,"")</f>
        <v/>
      </c>
      <c r="K8" s="131" t="str">
        <f>IF(K3=TRUE,entity9,"")</f>
        <v/>
      </c>
      <c r="L8" s="131" t="str">
        <f>IF(L3=TRUE,entity10,"")</f>
        <v/>
      </c>
    </row>
    <row r="9" spans="1:12" s="88" customFormat="1" ht="48" x14ac:dyDescent="0.3">
      <c r="A9" s="87"/>
      <c r="C9" s="86" t="str">
        <f>GettingStarted!D8 &amp; "s cannot raise " &amp; PROPER($A$1)</f>
        <v>County Governments cannot raise Stormwater &amp; Water Quality Fees</v>
      </c>
      <c r="D9" s="86" t="str">
        <f>GettingStarted!D9 &amp; "s cannot raise " &amp; PROPER($A$1)</f>
        <v>Municipal Governments cannot raise Stormwater &amp; Water Quality Fees</v>
      </c>
      <c r="E9" s="86" t="str">
        <f>GettingStarted!D10 &amp; "s cannot raise " &amp; PROPER($A$1)</f>
        <v>Municipal Governments cannot raise Stormwater &amp; Water Quality Fees</v>
      </c>
      <c r="F9" s="86" t="str">
        <f>GettingStarted!D11 &amp; "s cannot raise " &amp; PROPER($A$1)</f>
        <v>Watershed Councils cannot raise Stormwater &amp; Water Quality Fees</v>
      </c>
      <c r="G9" s="86" t="str">
        <f>GettingStarted!D12 &amp; "s cannot raise " &amp; PROPER($A$1)</f>
        <v>Nonprofits cannot raise Stormwater &amp; Water Quality Fees</v>
      </c>
      <c r="H9" s="86" t="str">
        <f>GettingStarted!D13 &amp; "s cannot raise " &amp; PROPER($A$1)</f>
        <v>Nonprofits cannot raise Stormwater &amp; Water Quality Fees</v>
      </c>
      <c r="I9" s="86" t="str">
        <f>GettingStarted!D14 &amp; "s cannot raise " &amp; PROPER($A$1)</f>
        <v>s cannot raise Stormwater &amp; Water Quality Fees</v>
      </c>
      <c r="J9" s="86" t="str">
        <f>GettingStarted!D15 &amp; "s cannot raise " &amp; PROPER($A$1)</f>
        <v>s cannot raise Stormwater &amp; Water Quality Fees</v>
      </c>
      <c r="K9" s="86" t="str">
        <f>GettingStarted!D16 &amp; "s cannot raise " &amp; PROPER($A$1)</f>
        <v>s cannot raise Stormwater &amp; Water Quality Fees</v>
      </c>
      <c r="L9" s="86" t="str">
        <f>GettingStarted!D17 &amp; "s cannot raise " &amp; PROPER($A$1)</f>
        <v>s cannot raise Stormwater &amp; Water Quality Fees</v>
      </c>
    </row>
    <row r="10" spans="1:12" x14ac:dyDescent="0.25">
      <c r="A10" s="158" t="s">
        <v>135</v>
      </c>
      <c r="B10" s="158"/>
    </row>
    <row r="11" spans="1:12" x14ac:dyDescent="0.25">
      <c r="B11" s="6" t="s">
        <v>82</v>
      </c>
      <c r="C11" s="67"/>
      <c r="D11" s="67"/>
      <c r="E11" s="67"/>
      <c r="F11" s="67"/>
      <c r="G11" s="67"/>
      <c r="H11" s="67"/>
      <c r="I11" s="67"/>
      <c r="J11" s="67"/>
      <c r="K11" s="67"/>
      <c r="L11" s="67"/>
    </row>
    <row r="12" spans="1:12" x14ac:dyDescent="0.25">
      <c r="B12" s="6" t="s">
        <v>104</v>
      </c>
      <c r="C12" s="78"/>
      <c r="D12" s="78"/>
      <c r="E12" s="78"/>
      <c r="F12" s="78"/>
      <c r="G12" s="78"/>
      <c r="H12" s="78"/>
      <c r="I12" s="78"/>
      <c r="J12" s="78"/>
      <c r="K12" s="78"/>
      <c r="L12" s="78"/>
    </row>
    <row r="13" spans="1:12" x14ac:dyDescent="0.25">
      <c r="A13" s="36" t="s">
        <v>17</v>
      </c>
      <c r="B13" s="6" t="s">
        <v>105</v>
      </c>
      <c r="C13" s="67"/>
      <c r="D13" s="67"/>
      <c r="E13" s="67"/>
      <c r="F13" s="67"/>
      <c r="G13" s="67"/>
      <c r="H13" s="67"/>
      <c r="I13" s="67"/>
      <c r="J13" s="67"/>
      <c r="K13" s="67"/>
      <c r="L13" s="67"/>
    </row>
    <row r="14" spans="1:12" x14ac:dyDescent="0.25">
      <c r="C14" s="15"/>
    </row>
    <row r="15" spans="1:12" x14ac:dyDescent="0.25">
      <c r="A15" s="37" t="s">
        <v>140</v>
      </c>
      <c r="C15" s="17" t="b">
        <f>IF(C5=TRUE,IF(C$16=Admin!$C$37,TRUE,FALSE), TRUE)</f>
        <v>0</v>
      </c>
      <c r="D15" s="17" t="b">
        <f>IF(D5=TRUE,IF(D$16=Admin!$C$37,TRUE,FALSE), TRUE)</f>
        <v>0</v>
      </c>
      <c r="E15" s="17" t="b">
        <f>IF(E5=TRUE,IF(E$16=Admin!$C$37,TRUE,FALSE), TRUE)</f>
        <v>0</v>
      </c>
      <c r="F15" s="17" t="b">
        <f>IF(F5=TRUE,IF(F$16=Admin!$C$37,TRUE,FALSE), TRUE)</f>
        <v>1</v>
      </c>
      <c r="G15" s="17" t="b">
        <f>IF(G5=TRUE,IF(G$16=Admin!$C$37,TRUE,FALSE), TRUE)</f>
        <v>1</v>
      </c>
      <c r="H15" s="17" t="b">
        <f>IF(H5=TRUE,IF(H$16=Admin!$C$37,TRUE,FALSE), TRUE)</f>
        <v>1</v>
      </c>
      <c r="I15" s="17" t="b">
        <f>IF(I5=TRUE,IF(I$16=Admin!$C$37,TRUE,FALSE), TRUE)</f>
        <v>1</v>
      </c>
      <c r="J15" s="17" t="b">
        <f>IF(J5=TRUE,IF(J$16=Admin!$C$37,TRUE,FALSE), TRUE)</f>
        <v>1</v>
      </c>
      <c r="K15" s="17" t="b">
        <f>IF(K5=TRUE,IF(K$16=Admin!$C$37,TRUE,FALSE), TRUE)</f>
        <v>1</v>
      </c>
      <c r="L15" s="17" t="b">
        <f>IF(L5=TRUE,IF(L$16=Admin!$C$37,TRUE,FALSE), TRUE)</f>
        <v>1</v>
      </c>
    </row>
    <row r="16" spans="1:12" x14ac:dyDescent="0.25">
      <c r="B16" s="6" t="s">
        <v>83</v>
      </c>
      <c r="C16" s="66" t="s">
        <v>87</v>
      </c>
      <c r="D16" s="66"/>
      <c r="E16" s="66"/>
      <c r="F16" s="66"/>
      <c r="G16" s="66"/>
      <c r="H16" s="66"/>
      <c r="I16" s="66"/>
      <c r="J16" s="66"/>
      <c r="K16" s="66"/>
      <c r="L16" s="66"/>
    </row>
    <row r="17" spans="1:12" x14ac:dyDescent="0.25">
      <c r="B17" s="6" t="s">
        <v>84</v>
      </c>
      <c r="C17" s="66">
        <v>500</v>
      </c>
      <c r="D17" s="66"/>
      <c r="E17" s="66"/>
      <c r="F17" s="66"/>
      <c r="G17" s="66"/>
      <c r="H17" s="66"/>
      <c r="I17" s="66"/>
      <c r="J17" s="66"/>
      <c r="K17" s="66"/>
      <c r="L17" s="66"/>
    </row>
    <row r="18" spans="1:12" x14ac:dyDescent="0.25">
      <c r="B18" s="6" t="s">
        <v>241</v>
      </c>
      <c r="C18" s="69">
        <v>2.5</v>
      </c>
      <c r="D18" s="69"/>
      <c r="E18" s="69"/>
      <c r="F18" s="69"/>
      <c r="G18" s="69"/>
      <c r="H18" s="69"/>
      <c r="I18" s="69"/>
      <c r="J18" s="69"/>
      <c r="K18" s="69"/>
      <c r="L18" s="69"/>
    </row>
    <row r="19" spans="1:12" x14ac:dyDescent="0.25">
      <c r="A19" s="17" t="b">
        <f>IF(COUNTIF($C$15:$L$15, "FALSE")&gt;0,FALSE,TRUE)</f>
        <v>0</v>
      </c>
      <c r="B19" s="6" t="s">
        <v>88</v>
      </c>
      <c r="C19" s="79"/>
      <c r="D19" s="79"/>
      <c r="E19" s="79"/>
      <c r="F19" s="79"/>
      <c r="G19" s="79"/>
      <c r="H19" s="79"/>
      <c r="I19" s="79"/>
      <c r="J19" s="79"/>
      <c r="K19" s="79"/>
      <c r="L19" s="79"/>
    </row>
    <row r="20" spans="1:12" x14ac:dyDescent="0.25">
      <c r="A20" s="17" t="b">
        <f>IF(COUNTIF($C$15:$L$15, "FALSE")&gt;0,FALSE,TRUE)</f>
        <v>0</v>
      </c>
      <c r="B20" s="6" t="s">
        <v>89</v>
      </c>
      <c r="C20" s="79"/>
      <c r="D20" s="79"/>
      <c r="E20" s="79"/>
      <c r="F20" s="79"/>
      <c r="G20" s="79"/>
      <c r="H20" s="79"/>
      <c r="I20" s="79"/>
      <c r="J20" s="79"/>
      <c r="K20" s="79"/>
      <c r="L20" s="79"/>
    </row>
    <row r="21" spans="1:12" x14ac:dyDescent="0.25">
      <c r="C21" s="17" t="b">
        <f>IF(C$5=TRUE,IF(C$22=Admin!$C$37,TRUE,FALSE), TRUE)</f>
        <v>0</v>
      </c>
      <c r="D21" s="17" t="b">
        <f>IF(D$5=TRUE,IF(D$22=Admin!$C$37,TRUE,FALSE), TRUE)</f>
        <v>0</v>
      </c>
      <c r="E21" s="17" t="b">
        <f>IF(E$5=TRUE,IF(E$22=Admin!$C$37,TRUE,FALSE), TRUE)</f>
        <v>0</v>
      </c>
      <c r="F21" s="17" t="b">
        <f>IF(F$5=TRUE,IF(F$22=Admin!$C$37,TRUE,FALSE), TRUE)</f>
        <v>1</v>
      </c>
      <c r="G21" s="17" t="b">
        <f>IF(G$5=TRUE,IF(G$22=Admin!$C$37,TRUE,FALSE), TRUE)</f>
        <v>1</v>
      </c>
      <c r="H21" s="17" t="b">
        <f>IF(H$5=TRUE,IF(H$22=Admin!$C$37,TRUE,FALSE), TRUE)</f>
        <v>1</v>
      </c>
      <c r="I21" s="17" t="b">
        <f>IF(I$5=TRUE,IF(I$22=Admin!$C$37,TRUE,FALSE), TRUE)</f>
        <v>1</v>
      </c>
      <c r="J21" s="17" t="b">
        <f>IF(J$5=TRUE,IF(J$22=Admin!$C$37,TRUE,FALSE), TRUE)</f>
        <v>1</v>
      </c>
      <c r="K21" s="17" t="b">
        <f>IF(K$5=TRUE,IF(K$22=Admin!$C$37,TRUE,FALSE), TRUE)</f>
        <v>1</v>
      </c>
      <c r="L21" s="17" t="b">
        <f>IF(L$5=TRUE,IF(L$22=Admin!$C$37,TRUE,FALSE), TRUE)</f>
        <v>1</v>
      </c>
    </row>
    <row r="22" spans="1:12" x14ac:dyDescent="0.25">
      <c r="B22" s="6" t="s">
        <v>90</v>
      </c>
      <c r="C22" s="66"/>
      <c r="D22" s="66" t="s">
        <v>87</v>
      </c>
      <c r="E22" s="66" t="s">
        <v>87</v>
      </c>
      <c r="F22" s="66"/>
      <c r="G22" s="66"/>
      <c r="H22" s="66"/>
      <c r="I22" s="66"/>
      <c r="J22" s="66"/>
      <c r="K22" s="66"/>
      <c r="L22" s="66"/>
    </row>
    <row r="23" spans="1:12" x14ac:dyDescent="0.25">
      <c r="B23" s="6" t="s">
        <v>91</v>
      </c>
      <c r="C23" s="66"/>
      <c r="D23" s="66"/>
      <c r="E23" s="66"/>
      <c r="F23" s="66"/>
      <c r="G23" s="66"/>
      <c r="H23" s="66"/>
      <c r="I23" s="66"/>
      <c r="J23" s="66"/>
      <c r="K23" s="66"/>
      <c r="L23" s="66"/>
    </row>
    <row r="24" spans="1:12" x14ac:dyDescent="0.25">
      <c r="B24" s="6" t="s">
        <v>241</v>
      </c>
      <c r="C24" s="69"/>
      <c r="D24" s="69"/>
      <c r="E24" s="69"/>
      <c r="F24" s="69"/>
      <c r="G24" s="69"/>
      <c r="H24" s="69"/>
      <c r="I24" s="69"/>
      <c r="J24" s="69"/>
      <c r="K24" s="69"/>
      <c r="L24" s="69"/>
    </row>
    <row r="25" spans="1:12" x14ac:dyDescent="0.25">
      <c r="A25" s="17" t="b">
        <f>IF(COUNTIF($C$21:$L$21, "FALSE")&gt;0,FALSE,TRUE)</f>
        <v>0</v>
      </c>
      <c r="B25" s="6" t="s">
        <v>88</v>
      </c>
      <c r="C25" s="79"/>
      <c r="D25" s="79"/>
      <c r="E25" s="79"/>
      <c r="F25" s="79"/>
      <c r="G25" s="79"/>
      <c r="H25" s="79"/>
      <c r="I25" s="79"/>
      <c r="J25" s="79"/>
      <c r="K25" s="79"/>
      <c r="L25" s="79"/>
    </row>
    <row r="26" spans="1:12" x14ac:dyDescent="0.25">
      <c r="A26" s="17" t="b">
        <f>IF(COUNTIF($C$21:$L$21, "FALSE")&gt;0,FALSE,TRUE)</f>
        <v>0</v>
      </c>
      <c r="B26" s="6" t="s">
        <v>89</v>
      </c>
      <c r="C26" s="79"/>
      <c r="D26" s="79"/>
      <c r="E26" s="79"/>
      <c r="F26" s="79"/>
      <c r="G26" s="79"/>
      <c r="H26" s="79"/>
      <c r="I26" s="79"/>
      <c r="J26" s="79"/>
      <c r="K26" s="79"/>
      <c r="L26" s="79"/>
    </row>
  </sheetData>
  <sheetProtection password="9D10" sheet="1" objects="1" scenarios="1" selectLockedCells="1"/>
  <mergeCells count="1">
    <mergeCell ref="A10:B10"/>
  </mergeCells>
  <conditionalFormatting sqref="B19">
    <cfRule type="expression" dxfId="414" priority="109">
      <formula>$A$19</formula>
    </cfRule>
  </conditionalFormatting>
  <conditionalFormatting sqref="C19">
    <cfRule type="expression" dxfId="413" priority="108">
      <formula>C$15</formula>
    </cfRule>
  </conditionalFormatting>
  <conditionalFormatting sqref="B20">
    <cfRule type="expression" dxfId="412" priority="107">
      <formula>$A$20</formula>
    </cfRule>
  </conditionalFormatting>
  <conditionalFormatting sqref="C20">
    <cfRule type="expression" dxfId="411" priority="106">
      <formula>C$15</formula>
    </cfRule>
  </conditionalFormatting>
  <conditionalFormatting sqref="B25">
    <cfRule type="expression" dxfId="410" priority="105">
      <formula>$A$25</formula>
    </cfRule>
  </conditionalFormatting>
  <conditionalFormatting sqref="C25">
    <cfRule type="expression" dxfId="409" priority="104">
      <formula>C$21</formula>
    </cfRule>
  </conditionalFormatting>
  <conditionalFormatting sqref="B26">
    <cfRule type="expression" dxfId="408" priority="103">
      <formula>$A$26</formula>
    </cfRule>
  </conditionalFormatting>
  <conditionalFormatting sqref="C26">
    <cfRule type="expression" dxfId="407" priority="102">
      <formula>C$21</formula>
    </cfRule>
  </conditionalFormatting>
  <conditionalFormatting sqref="C11:C13 C16:C20 C23:C26 C22:L22">
    <cfRule type="expression" dxfId="406" priority="120">
      <formula>C$5</formula>
    </cfRule>
  </conditionalFormatting>
  <conditionalFormatting sqref="C8">
    <cfRule type="expression" dxfId="405" priority="122">
      <formula>C$3</formula>
    </cfRule>
  </conditionalFormatting>
  <conditionalFormatting sqref="C9">
    <cfRule type="expression" dxfId="404" priority="121">
      <formula>C$6</formula>
    </cfRule>
  </conditionalFormatting>
  <conditionalFormatting sqref="D8">
    <cfRule type="expression" dxfId="403" priority="81">
      <formula>D$3</formula>
    </cfRule>
  </conditionalFormatting>
  <conditionalFormatting sqref="E8">
    <cfRule type="expression" dxfId="402" priority="80">
      <formula>E$3</formula>
    </cfRule>
  </conditionalFormatting>
  <conditionalFormatting sqref="F8">
    <cfRule type="expression" dxfId="401" priority="79">
      <formula>F$3</formula>
    </cfRule>
  </conditionalFormatting>
  <conditionalFormatting sqref="G8">
    <cfRule type="expression" dxfId="400" priority="78">
      <formula>G$3</formula>
    </cfRule>
  </conditionalFormatting>
  <conditionalFormatting sqref="H8">
    <cfRule type="expression" dxfId="399" priority="77">
      <formula>H$3</formula>
    </cfRule>
  </conditionalFormatting>
  <conditionalFormatting sqref="I8">
    <cfRule type="expression" dxfId="398" priority="76">
      <formula>I$3</formula>
    </cfRule>
  </conditionalFormatting>
  <conditionalFormatting sqref="J8">
    <cfRule type="expression" dxfId="397" priority="75">
      <formula>J$3</formula>
    </cfRule>
  </conditionalFormatting>
  <conditionalFormatting sqref="K8">
    <cfRule type="expression" dxfId="396" priority="74">
      <formula>K$3</formula>
    </cfRule>
  </conditionalFormatting>
  <conditionalFormatting sqref="L8">
    <cfRule type="expression" dxfId="395" priority="73">
      <formula>L$3</formula>
    </cfRule>
  </conditionalFormatting>
  <conditionalFormatting sqref="D9">
    <cfRule type="expression" dxfId="394" priority="72">
      <formula>D$6</formula>
    </cfRule>
  </conditionalFormatting>
  <conditionalFormatting sqref="E9">
    <cfRule type="expression" dxfId="393" priority="71">
      <formula>E$6</formula>
    </cfRule>
  </conditionalFormatting>
  <conditionalFormatting sqref="F9">
    <cfRule type="expression" dxfId="392" priority="70">
      <formula>F$6</formula>
    </cfRule>
  </conditionalFormatting>
  <conditionalFormatting sqref="G9">
    <cfRule type="expression" dxfId="391" priority="69">
      <formula>G$6</formula>
    </cfRule>
  </conditionalFormatting>
  <conditionalFormatting sqref="H9">
    <cfRule type="expression" dxfId="390" priority="68">
      <formula>H$6</formula>
    </cfRule>
  </conditionalFormatting>
  <conditionalFormatting sqref="I9">
    <cfRule type="expression" dxfId="389" priority="67">
      <formula>I$6</formula>
    </cfRule>
  </conditionalFormatting>
  <conditionalFormatting sqref="J9">
    <cfRule type="expression" dxfId="388" priority="66">
      <formula>J$6</formula>
    </cfRule>
  </conditionalFormatting>
  <conditionalFormatting sqref="K9">
    <cfRule type="expression" dxfId="387" priority="65">
      <formula>K$6</formula>
    </cfRule>
  </conditionalFormatting>
  <conditionalFormatting sqref="L9">
    <cfRule type="expression" dxfId="386" priority="64">
      <formula>L$6</formula>
    </cfRule>
  </conditionalFormatting>
  <conditionalFormatting sqref="D11:D13">
    <cfRule type="expression" dxfId="385" priority="63">
      <formula>D$5</formula>
    </cfRule>
  </conditionalFormatting>
  <conditionalFormatting sqref="E11:E13">
    <cfRule type="expression" dxfId="384" priority="62">
      <formula>E$5</formula>
    </cfRule>
  </conditionalFormatting>
  <conditionalFormatting sqref="F11:F13">
    <cfRule type="expression" dxfId="383" priority="61">
      <formula>F$5</formula>
    </cfRule>
  </conditionalFormatting>
  <conditionalFormatting sqref="G11:G13">
    <cfRule type="expression" dxfId="382" priority="60">
      <formula>G$5</formula>
    </cfRule>
  </conditionalFormatting>
  <conditionalFormatting sqref="H11:H13">
    <cfRule type="expression" dxfId="381" priority="59">
      <formula>H$5</formula>
    </cfRule>
  </conditionalFormatting>
  <conditionalFormatting sqref="I11:I13">
    <cfRule type="expression" dxfId="380" priority="58">
      <formula>I$5</formula>
    </cfRule>
  </conditionalFormatting>
  <conditionalFormatting sqref="J11:J13">
    <cfRule type="expression" dxfId="379" priority="57">
      <formula>J$5</formula>
    </cfRule>
  </conditionalFormatting>
  <conditionalFormatting sqref="K11:K13">
    <cfRule type="expression" dxfId="378" priority="56">
      <formula>K$5</formula>
    </cfRule>
  </conditionalFormatting>
  <conditionalFormatting sqref="L11:L13">
    <cfRule type="expression" dxfId="377" priority="55">
      <formula>L$5</formula>
    </cfRule>
  </conditionalFormatting>
  <conditionalFormatting sqref="D19">
    <cfRule type="expression" dxfId="376" priority="53">
      <formula>D$15</formula>
    </cfRule>
  </conditionalFormatting>
  <conditionalFormatting sqref="D20">
    <cfRule type="expression" dxfId="375" priority="52">
      <formula>D$15</formula>
    </cfRule>
  </conditionalFormatting>
  <conditionalFormatting sqref="D16:D20">
    <cfRule type="expression" dxfId="374" priority="54">
      <formula>D$5</formula>
    </cfRule>
  </conditionalFormatting>
  <conditionalFormatting sqref="E19">
    <cfRule type="expression" dxfId="373" priority="50">
      <formula>E$15</formula>
    </cfRule>
  </conditionalFormatting>
  <conditionalFormatting sqref="E20">
    <cfRule type="expression" dxfId="372" priority="49">
      <formula>E$15</formula>
    </cfRule>
  </conditionalFormatting>
  <conditionalFormatting sqref="E16:E20">
    <cfRule type="expression" dxfId="371" priority="51">
      <formula>E$5</formula>
    </cfRule>
  </conditionalFormatting>
  <conditionalFormatting sqref="F19">
    <cfRule type="expression" dxfId="370" priority="47">
      <formula>F$15</formula>
    </cfRule>
  </conditionalFormatting>
  <conditionalFormatting sqref="F20">
    <cfRule type="expression" dxfId="369" priority="46">
      <formula>F$15</formula>
    </cfRule>
  </conditionalFormatting>
  <conditionalFormatting sqref="F16:F20">
    <cfRule type="expression" dxfId="368" priority="48">
      <formula>F$5</formula>
    </cfRule>
  </conditionalFormatting>
  <conditionalFormatting sqref="G19">
    <cfRule type="expression" dxfId="367" priority="44">
      <formula>G$15</formula>
    </cfRule>
  </conditionalFormatting>
  <conditionalFormatting sqref="G20">
    <cfRule type="expression" dxfId="366" priority="43">
      <formula>G$15</formula>
    </cfRule>
  </conditionalFormatting>
  <conditionalFormatting sqref="G16:G20">
    <cfRule type="expression" dxfId="365" priority="45">
      <formula>G$5</formula>
    </cfRule>
  </conditionalFormatting>
  <conditionalFormatting sqref="H19">
    <cfRule type="expression" dxfId="364" priority="41">
      <formula>H$15</formula>
    </cfRule>
  </conditionalFormatting>
  <conditionalFormatting sqref="H20">
    <cfRule type="expression" dxfId="363" priority="40">
      <formula>H$15</formula>
    </cfRule>
  </conditionalFormatting>
  <conditionalFormatting sqref="H16:H20">
    <cfRule type="expression" dxfId="362" priority="42">
      <formula>H$5</formula>
    </cfRule>
  </conditionalFormatting>
  <conditionalFormatting sqref="I19">
    <cfRule type="expression" dxfId="361" priority="38">
      <formula>I$15</formula>
    </cfRule>
  </conditionalFormatting>
  <conditionalFormatting sqref="I20">
    <cfRule type="expression" dxfId="360" priority="37">
      <formula>I$15</formula>
    </cfRule>
  </conditionalFormatting>
  <conditionalFormatting sqref="I16:I20">
    <cfRule type="expression" dxfId="359" priority="39">
      <formula>I$5</formula>
    </cfRule>
  </conditionalFormatting>
  <conditionalFormatting sqref="J19">
    <cfRule type="expression" dxfId="358" priority="35">
      <formula>J$15</formula>
    </cfRule>
  </conditionalFormatting>
  <conditionalFormatting sqref="J20">
    <cfRule type="expression" dxfId="357" priority="34">
      <formula>J$15</formula>
    </cfRule>
  </conditionalFormatting>
  <conditionalFormatting sqref="J16:J20">
    <cfRule type="expression" dxfId="356" priority="36">
      <formula>J$5</formula>
    </cfRule>
  </conditionalFormatting>
  <conditionalFormatting sqref="K19">
    <cfRule type="expression" dxfId="355" priority="32">
      <formula>K$15</formula>
    </cfRule>
  </conditionalFormatting>
  <conditionalFormatting sqref="K20">
    <cfRule type="expression" dxfId="354" priority="31">
      <formula>K$15</formula>
    </cfRule>
  </conditionalFormatting>
  <conditionalFormatting sqref="K16:K20">
    <cfRule type="expression" dxfId="353" priority="33">
      <formula>K$5</formula>
    </cfRule>
  </conditionalFormatting>
  <conditionalFormatting sqref="L19">
    <cfRule type="expression" dxfId="352" priority="29">
      <formula>L$15</formula>
    </cfRule>
  </conditionalFormatting>
  <conditionalFormatting sqref="L20">
    <cfRule type="expression" dxfId="351" priority="28">
      <formula>L$15</formula>
    </cfRule>
  </conditionalFormatting>
  <conditionalFormatting sqref="L16:L20">
    <cfRule type="expression" dxfId="350" priority="30">
      <formula>L$5</formula>
    </cfRule>
  </conditionalFormatting>
  <conditionalFormatting sqref="D25">
    <cfRule type="expression" dxfId="349" priority="26">
      <formula>D$21</formula>
    </cfRule>
  </conditionalFormatting>
  <conditionalFormatting sqref="D26">
    <cfRule type="expression" dxfId="348" priority="25">
      <formula>D$21</formula>
    </cfRule>
  </conditionalFormatting>
  <conditionalFormatting sqref="D22:D26">
    <cfRule type="expression" dxfId="347" priority="27">
      <formula>D$5</formula>
    </cfRule>
  </conditionalFormatting>
  <conditionalFormatting sqref="E25">
    <cfRule type="expression" dxfId="346" priority="23">
      <formula>E$21</formula>
    </cfRule>
  </conditionalFormatting>
  <conditionalFormatting sqref="E26">
    <cfRule type="expression" dxfId="345" priority="22">
      <formula>E$21</formula>
    </cfRule>
  </conditionalFormatting>
  <conditionalFormatting sqref="E22:E26">
    <cfRule type="expression" dxfId="344" priority="24">
      <formula>E$5</formula>
    </cfRule>
  </conditionalFormatting>
  <conditionalFormatting sqref="F25">
    <cfRule type="expression" dxfId="343" priority="20">
      <formula>F$21</formula>
    </cfRule>
  </conditionalFormatting>
  <conditionalFormatting sqref="F26">
    <cfRule type="expression" dxfId="342" priority="19">
      <formula>F$21</formula>
    </cfRule>
  </conditionalFormatting>
  <conditionalFormatting sqref="F22:F26">
    <cfRule type="expression" dxfId="341" priority="21">
      <formula>F$5</formula>
    </cfRule>
  </conditionalFormatting>
  <conditionalFormatting sqref="G25">
    <cfRule type="expression" dxfId="340" priority="17">
      <formula>G$21</formula>
    </cfRule>
  </conditionalFormatting>
  <conditionalFormatting sqref="G26">
    <cfRule type="expression" dxfId="339" priority="16">
      <formula>G$21</formula>
    </cfRule>
  </conditionalFormatting>
  <conditionalFormatting sqref="G22:G26">
    <cfRule type="expression" dxfId="338" priority="18">
      <formula>G$5</formula>
    </cfRule>
  </conditionalFormatting>
  <conditionalFormatting sqref="H25">
    <cfRule type="expression" dxfId="337" priority="14">
      <formula>H$21</formula>
    </cfRule>
  </conditionalFormatting>
  <conditionalFormatting sqref="H26">
    <cfRule type="expression" dxfId="336" priority="13">
      <formula>H$21</formula>
    </cfRule>
  </conditionalFormatting>
  <conditionalFormatting sqref="H22:H26">
    <cfRule type="expression" dxfId="335" priority="15">
      <formula>H$5</formula>
    </cfRule>
  </conditionalFormatting>
  <conditionalFormatting sqref="I25">
    <cfRule type="expression" dxfId="334" priority="11">
      <formula>I$21</formula>
    </cfRule>
  </conditionalFormatting>
  <conditionalFormatting sqref="I26">
    <cfRule type="expression" dxfId="333" priority="10">
      <formula>I$21</formula>
    </cfRule>
  </conditionalFormatting>
  <conditionalFormatting sqref="I22:I26">
    <cfRule type="expression" dxfId="332" priority="12">
      <formula>I$5</formula>
    </cfRule>
  </conditionalFormatting>
  <conditionalFormatting sqref="J25">
    <cfRule type="expression" dxfId="331" priority="8">
      <formula>J$21</formula>
    </cfRule>
  </conditionalFormatting>
  <conditionalFormatting sqref="J26">
    <cfRule type="expression" dxfId="330" priority="7">
      <formula>J$21</formula>
    </cfRule>
  </conditionalFormatting>
  <conditionalFormatting sqref="J22:J26">
    <cfRule type="expression" dxfId="329" priority="9">
      <formula>J$5</formula>
    </cfRule>
  </conditionalFormatting>
  <conditionalFormatting sqref="K25">
    <cfRule type="expression" dxfId="328" priority="5">
      <formula>K$21</formula>
    </cfRule>
  </conditionalFormatting>
  <conditionalFormatting sqref="K26">
    <cfRule type="expression" dxfId="327" priority="4">
      <formula>K$21</formula>
    </cfRule>
  </conditionalFormatting>
  <conditionalFormatting sqref="K22:K26">
    <cfRule type="expression" dxfId="326" priority="6">
      <formula>K$5</formula>
    </cfRule>
  </conditionalFormatting>
  <conditionalFormatting sqref="L25">
    <cfRule type="expression" dxfId="325" priority="2">
      <formula>L$21</formula>
    </cfRule>
  </conditionalFormatting>
  <conditionalFormatting sqref="L26">
    <cfRule type="expression" dxfId="324" priority="1">
      <formula>L$21</formula>
    </cfRule>
  </conditionalFormatting>
  <conditionalFormatting sqref="L22:L26">
    <cfRule type="expression" dxfId="323" priority="3">
      <formula>L$5</formula>
    </cfRule>
  </conditionalFormatting>
  <dataValidations count="4">
    <dataValidation allowBlank="1" showInputMessage="1" showErrorMessage="1" prompt="ERU means Equivalent Residential Unit.  If you charge residential stormwater or watershed fees based on ERUs, enter the amount of square feet in each ERU here." sqref="C19 D19 E19 F19 G19 H19 I19 J19 K19 L19"/>
    <dataValidation allowBlank="1" showInputMessage="1" showErrorMessage="1" prompt="Enter the average amount of impervious surface per residential lot in your billing area.  This is based on analysis of the actual lots wtihin your community and may be different from the value entered for the ERU." sqref="C20 D20 E20 F20 G20 H20 I20 J20 K20 L20"/>
    <dataValidation allowBlank="1" showInputMessage="1" showErrorMessage="1" prompt="ERU means Equivalent Residential Unit.  If you charge non-residential stormwater or watershed fees based on ERUs, enter the amount of square feet in each ERU here." sqref="C25:L25"/>
    <dataValidation allowBlank="1" showInputMessage="1" showErrorMessage="1" prompt="Enter the average amount of impervious surface per non-residential lot in your billing area.  This is based on analysis of the actual lots wtihin your community and is likely significantly higher than the value entered for the ERU." sqref="C26:L26"/>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Please hit CANCEL and then select a value from the drop-down">
          <x14:formula1>
            <xm:f>Admin!$C$37:$C$38</xm:f>
          </x14:formula1>
          <xm:sqref>C16:L16</xm:sqref>
        </x14:dataValidation>
        <x14:dataValidation type="list" allowBlank="1" showInputMessage="1" showErrorMessage="1" error="Please click CANCEL and then select a value from the drop-down list">
          <x14:formula1>
            <xm:f>Admin!$C$37:$C$38</xm:f>
          </x14:formula1>
          <xm:sqref>C22:L22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33"/>
  <sheetViews>
    <sheetView topLeftCell="A10" workbookViewId="0">
      <selection activeCell="D28" sqref="D28"/>
    </sheetView>
  </sheetViews>
  <sheetFormatPr defaultColWidth="9.140625" defaultRowHeight="15" x14ac:dyDescent="0.25"/>
  <cols>
    <col min="1" max="1" width="19.5703125" style="6" customWidth="1"/>
    <col min="2" max="2" width="35.140625" style="6" bestFit="1" customWidth="1"/>
    <col min="3" max="12" width="20.5703125" style="6" customWidth="1"/>
    <col min="13" max="16384" width="9.140625" style="6"/>
  </cols>
  <sheetData>
    <row r="1" spans="1:12" ht="15.75" thickBot="1" x14ac:dyDescent="0.3">
      <c r="A1" s="10" t="s">
        <v>152</v>
      </c>
      <c r="C1" s="60">
        <f>SUM(C2:L2)</f>
        <v>0</v>
      </c>
    </row>
    <row r="2" spans="1:12" hidden="1" x14ac:dyDescent="0.25">
      <c r="A2" s="26" t="s">
        <v>48</v>
      </c>
      <c r="B2" s="39"/>
      <c r="C2" s="24">
        <f>C11*C12+C13+IF(C16=Admin!A41,FloodZoneFees!C17*FloodZoneFees!C18,IF(FloodZoneFees!C16=Admin!A42,FloodZoneFees!C18*FloodZoneFees!C19/100,IF(FloodZoneFees!C16=Admin!A43,FloodZoneFees!C18*FloodZoneFees!C17*FloodZoneFees!C21/FloodZoneFees!C20,0)))+IF(C23=Admin!A41,FloodZoneFees!C24*FloodZoneFees!C25,IF(FloodZoneFees!C23=Admin!A42,FloodZoneFees!C25*FloodZoneFees!C26/100,IF(FloodZoneFees!C23=Admin!A43,FloodZoneFees!C25*FloodZoneFees!C24*FloodZoneFees!C28/FloodZoneFees!C27,0)))</f>
        <v>0</v>
      </c>
      <c r="D2" s="24">
        <f>D11*D12+D13+IF(D16=Admin!B41,FloodZoneFees!D17*FloodZoneFees!D18,IF(FloodZoneFees!D16=Admin!B42,FloodZoneFees!D18*FloodZoneFees!D19/100,IF(FloodZoneFees!D16=Admin!B43,FloodZoneFees!D18*FloodZoneFees!D17*FloodZoneFees!D21/FloodZoneFees!D20,0)))+IF(D23=Admin!B41,FloodZoneFees!D24*FloodZoneFees!D25,IF(FloodZoneFees!D23=Admin!B42,FloodZoneFees!D25*FloodZoneFees!D26/100,IF(FloodZoneFees!D23=Admin!B43,FloodZoneFees!D25*FloodZoneFees!D24*FloodZoneFees!D28/FloodZoneFees!D27,0)))</f>
        <v>0</v>
      </c>
      <c r="E2" s="24">
        <f>E11*E12+E13+IF(E16=Admin!C41,FloodZoneFees!E17*FloodZoneFees!E18,IF(FloodZoneFees!E16=Admin!C42,FloodZoneFees!E18*FloodZoneFees!E19/100,IF(FloodZoneFees!E16=Admin!C43,FloodZoneFees!E18*FloodZoneFees!E17*FloodZoneFees!E21/FloodZoneFees!E20,0)))+IF(E23=Admin!C41,FloodZoneFees!E24*FloodZoneFees!E25,IF(FloodZoneFees!E23=Admin!C42,FloodZoneFees!E25*FloodZoneFees!E26/100,IF(FloodZoneFees!E23=Admin!C43,FloodZoneFees!E25*FloodZoneFees!E24*FloodZoneFees!E28/FloodZoneFees!E27,0)))</f>
        <v>0</v>
      </c>
      <c r="F2" s="24">
        <f>F11*F12+F13+IF(F16=Admin!D41,FloodZoneFees!F17*FloodZoneFees!F18,IF(FloodZoneFees!F16=Admin!D42,FloodZoneFees!F18*FloodZoneFees!F19/100,IF(FloodZoneFees!F16=Admin!D43,FloodZoneFees!F18*FloodZoneFees!F17*FloodZoneFees!F21/FloodZoneFees!F20,0)))+IF(F23=Admin!D41,FloodZoneFees!F24*FloodZoneFees!F25,IF(FloodZoneFees!F23=Admin!D42,FloodZoneFees!F25*FloodZoneFees!F26/100,IF(FloodZoneFees!F23=Admin!D43,FloodZoneFees!F25*FloodZoneFees!F24*FloodZoneFees!F28/FloodZoneFees!F27,0)))</f>
        <v>0</v>
      </c>
      <c r="G2" s="24"/>
      <c r="H2" s="24">
        <f>H11*H12+H13+IF(H16=Admin!F41,FloodZoneFees!H17*FloodZoneFees!H18,IF(FloodZoneFees!H16=Admin!F42,FloodZoneFees!H18*FloodZoneFees!H19/100,IF(FloodZoneFees!H16=Admin!F43,FloodZoneFees!H18*FloodZoneFees!H17*FloodZoneFees!H21/FloodZoneFees!H20,0)))+IF(H23=Admin!F41,FloodZoneFees!H24*FloodZoneFees!H25,IF(FloodZoneFees!H23=Admin!F42,FloodZoneFees!H25*FloodZoneFees!H26/100,IF(FloodZoneFees!H23=Admin!F43,FloodZoneFees!H25*FloodZoneFees!H24*FloodZoneFees!H28/FloodZoneFees!H27,0)))</f>
        <v>0</v>
      </c>
      <c r="I2" s="24">
        <f>I11*I12+I13+IF(I16=Admin!G41,FloodZoneFees!I17*FloodZoneFees!I18,IF(FloodZoneFees!I16=Admin!G42,FloodZoneFees!I18*FloodZoneFees!I19/100,IF(FloodZoneFees!I16=Admin!G43,FloodZoneFees!I18*FloodZoneFees!I17*FloodZoneFees!I21/FloodZoneFees!I20,0)))+IF(I23=Admin!G41,FloodZoneFees!I24*FloodZoneFees!I25,IF(FloodZoneFees!I23=Admin!G42,FloodZoneFees!I25*FloodZoneFees!I26/100,IF(FloodZoneFees!I23=Admin!G43,FloodZoneFees!I25*FloodZoneFees!I24*FloodZoneFees!I28/FloodZoneFees!I27,0)))</f>
        <v>0</v>
      </c>
      <c r="J2" s="24">
        <f>J11*J12+J13+IF(J16=Admin!H41,FloodZoneFees!J17*FloodZoneFees!J18,IF(FloodZoneFees!J16=Admin!H42,FloodZoneFees!J18*FloodZoneFees!J19/100,IF(FloodZoneFees!J16=Admin!H43,FloodZoneFees!J18*FloodZoneFees!J17*FloodZoneFees!J21/FloodZoneFees!J20,0)))+IF(J23=Admin!H41,FloodZoneFees!J24*FloodZoneFees!J25,IF(FloodZoneFees!J23=Admin!H42,FloodZoneFees!J25*FloodZoneFees!J26/100,IF(FloodZoneFees!J23=Admin!H43,FloodZoneFees!J25*FloodZoneFees!J24*FloodZoneFees!J28/FloodZoneFees!J27,0)))</f>
        <v>0</v>
      </c>
      <c r="K2" s="24">
        <f>K11*K12+K13+IF(K16=Admin!I41,FloodZoneFees!K17*FloodZoneFees!K18,IF(FloodZoneFees!K16=Admin!I42,FloodZoneFees!K18*FloodZoneFees!K19/100,IF(FloodZoneFees!K16=Admin!I43,FloodZoneFees!K18*FloodZoneFees!K17*FloodZoneFees!K21/FloodZoneFees!K20,0)))+IF(K23=Admin!I41,FloodZoneFees!K24*FloodZoneFees!K25,IF(FloodZoneFees!K23=Admin!I42,FloodZoneFees!K25*FloodZoneFees!K26/100,IF(FloodZoneFees!K23=Admin!I43,FloodZoneFees!K25*FloodZoneFees!K24*FloodZoneFees!K28/FloodZoneFees!K27,0)))</f>
        <v>0</v>
      </c>
      <c r="L2" s="24">
        <f>L11*L12+L13+IF(L16=Admin!J41,FloodZoneFees!L17*FloodZoneFees!L18,IF(FloodZoneFees!L16=Admin!J42,FloodZoneFees!L18*FloodZoneFees!L19/100,IF(FloodZoneFees!L16=Admin!J43,FloodZoneFees!L18*FloodZoneFees!L17*FloodZoneFees!L21/FloodZoneFees!L20,0)))+IF(L23=Admin!J41,FloodZoneFees!L24*FloodZoneFees!L25,IF(FloodZoneFees!L23=Admin!J42,FloodZoneFees!L25*FloodZoneFees!L26/100,IF(FloodZoneFees!L23=Admin!J43,FloodZoneFees!L25*FloodZoneFees!L24*FloodZoneFees!L28/FloodZoneFees!L27,0)))</f>
        <v>0</v>
      </c>
    </row>
    <row r="3" spans="1:12" hidden="1" x14ac:dyDescent="0.25">
      <c r="A3" s="26" t="s">
        <v>49</v>
      </c>
      <c r="B3" s="44"/>
      <c r="C3" s="27" t="b">
        <f>IF(TotalEntities&gt;=1,TRUE,FALSE)</f>
        <v>1</v>
      </c>
      <c r="D3" s="27" t="b">
        <f>IF(TotalEntities&gt;=2,TRUE,FALSE)</f>
        <v>1</v>
      </c>
      <c r="E3" s="27" t="b">
        <f>IF(TotalEntities&gt;=3,TRUE,FALSE)</f>
        <v>1</v>
      </c>
      <c r="F3" s="27" t="b">
        <f>IF(TotalEntities&gt;=4,TRUE,FALSE)</f>
        <v>1</v>
      </c>
      <c r="G3" s="27" t="b">
        <f>IF(TotalEntities&gt;=5,TRUE,FALSE)</f>
        <v>1</v>
      </c>
      <c r="H3" s="27" t="b">
        <f>IF(TotalEntities&gt;=6,TRUE,FALSE)</f>
        <v>1</v>
      </c>
      <c r="I3" s="27" t="b">
        <f>IF(TotalEntities&gt;=7,TRUE,FALSE)</f>
        <v>0</v>
      </c>
      <c r="J3" s="27" t="b">
        <f>IF(TotalEntities&gt;=8,TRUE,FALSE)</f>
        <v>0</v>
      </c>
      <c r="K3" s="27" t="b">
        <f>IF(TotalEntities&gt;=9,TRUE,FALSE)</f>
        <v>0</v>
      </c>
      <c r="L3" s="27" t="b">
        <f>IF(TotalEntities&gt;=10,TRUE,FALSE)</f>
        <v>0</v>
      </c>
    </row>
    <row r="4" spans="1:12" hidden="1" x14ac:dyDescent="0.25">
      <c r="A4" s="26" t="s">
        <v>50</v>
      </c>
      <c r="B4" s="44">
        <v>9</v>
      </c>
      <c r="C4" s="27" t="b">
        <f>VLOOKUP(GettingStarted!D8,Admin!$A$27:$J$34,$B$4, FALSE)</f>
        <v>1</v>
      </c>
      <c r="D4" s="27" t="b">
        <f>VLOOKUP(GettingStarted!D9,Admin!$A$27:$J$34,$B$4, FALSE)</f>
        <v>1</v>
      </c>
      <c r="E4" s="27" t="b">
        <f>VLOOKUP(GettingStarted!D10,Admin!$A$27:$J$34,$B$4, FALSE)</f>
        <v>1</v>
      </c>
      <c r="F4" s="27" t="b">
        <f>VLOOKUP(GettingStarted!D11,Admin!$A$27:$J$34,$B$4, FALSE)</f>
        <v>0</v>
      </c>
      <c r="G4" s="27" t="b">
        <f>VLOOKUP(GettingStarted!D12,Admin!$A$27:$J$34,$B$4, FALSE)</f>
        <v>1</v>
      </c>
      <c r="H4" s="27" t="b">
        <f>VLOOKUP(GettingStarted!D13,Admin!$A$27:$J$34,$B$4, FALSE)</f>
        <v>1</v>
      </c>
      <c r="I4" s="27" t="e">
        <f>VLOOKUP(GettingStarted!D14,Admin!$A$27:$J$34,$B$4, FALSE)</f>
        <v>#N/A</v>
      </c>
      <c r="J4" s="27" t="e">
        <f>VLOOKUP(GettingStarted!D15,Admin!$A$27:$J$34,$B$4, FALSE)</f>
        <v>#N/A</v>
      </c>
      <c r="K4" s="27" t="e">
        <f>VLOOKUP(GettingStarted!D16,Admin!$A$27:$J$34,$B$4, FALSE)</f>
        <v>#N/A</v>
      </c>
      <c r="L4" s="27" t="e">
        <f>VLOOKUP(GettingStarted!D17,Admin!$A$27:$J$34,$B$4, FALSE)</f>
        <v>#N/A</v>
      </c>
    </row>
    <row r="5" spans="1:12" hidden="1" x14ac:dyDescent="0.25">
      <c r="A5" s="26" t="s">
        <v>58</v>
      </c>
      <c r="B5" s="44"/>
      <c r="C5" s="27" t="b">
        <f>IF(C3=TRUE,IF(C4=TRUE,TRUE,FALSE),FALSE)</f>
        <v>1</v>
      </c>
      <c r="D5" s="27" t="b">
        <f t="shared" ref="D5:L5" si="0">IF(D3=TRUE,IF(D4=TRUE,TRUE,FALSE),FALSE)</f>
        <v>1</v>
      </c>
      <c r="E5" s="27" t="b">
        <f t="shared" si="0"/>
        <v>1</v>
      </c>
      <c r="F5" s="27" t="b">
        <f t="shared" si="0"/>
        <v>0</v>
      </c>
      <c r="G5" s="27" t="b">
        <f t="shared" si="0"/>
        <v>1</v>
      </c>
      <c r="H5" s="27" t="b">
        <f t="shared" si="0"/>
        <v>1</v>
      </c>
      <c r="I5" s="27" t="b">
        <f t="shared" si="0"/>
        <v>0</v>
      </c>
      <c r="J5" s="27" t="b">
        <f t="shared" si="0"/>
        <v>0</v>
      </c>
      <c r="K5" s="27" t="b">
        <f t="shared" si="0"/>
        <v>0</v>
      </c>
      <c r="L5" s="27" t="b">
        <f t="shared" si="0"/>
        <v>0</v>
      </c>
    </row>
    <row r="6" spans="1:12" hidden="1" x14ac:dyDescent="0.25">
      <c r="A6" s="26" t="s">
        <v>60</v>
      </c>
      <c r="B6" s="44"/>
      <c r="C6" s="27" t="b">
        <f>IF(C3=TRUE,IF(C5=FALSE,TRUE,FALSE),FALSE)</f>
        <v>0</v>
      </c>
      <c r="D6" s="27" t="b">
        <f t="shared" ref="D6:L6" si="1">IF(D3=TRUE,IF(D5=FALSE,TRUE,FALSE),FALSE)</f>
        <v>0</v>
      </c>
      <c r="E6" s="27" t="b">
        <f t="shared" si="1"/>
        <v>0</v>
      </c>
      <c r="F6" s="27" t="b">
        <f t="shared" si="1"/>
        <v>1</v>
      </c>
      <c r="G6" s="27" t="b">
        <f t="shared" si="1"/>
        <v>0</v>
      </c>
      <c r="H6" s="27" t="b">
        <f t="shared" si="1"/>
        <v>0</v>
      </c>
      <c r="I6" s="27" t="b">
        <f t="shared" si="1"/>
        <v>0</v>
      </c>
      <c r="J6" s="27" t="b">
        <f t="shared" si="1"/>
        <v>0</v>
      </c>
      <c r="K6" s="27" t="b">
        <f t="shared" si="1"/>
        <v>0</v>
      </c>
      <c r="L6" s="27" t="b">
        <f t="shared" si="1"/>
        <v>0</v>
      </c>
    </row>
    <row r="7" spans="1:12" ht="14.45" x14ac:dyDescent="0.3">
      <c r="A7" s="96"/>
      <c r="B7" s="44"/>
      <c r="C7" s="27"/>
      <c r="D7" s="27"/>
      <c r="E7" s="27"/>
      <c r="F7" s="27"/>
      <c r="G7" s="27"/>
      <c r="H7" s="27"/>
      <c r="I7" s="27"/>
      <c r="J7" s="27"/>
      <c r="K7" s="27"/>
      <c r="L7" s="27"/>
    </row>
    <row r="8" spans="1:12" s="130" customFormat="1" ht="45" customHeight="1" x14ac:dyDescent="0.3">
      <c r="A8" s="129" t="s">
        <v>47</v>
      </c>
      <c r="C8" s="131" t="str">
        <f>IF(C3=TRUE,entity1,"")</f>
        <v>Oxbow County</v>
      </c>
      <c r="D8" s="131" t="str">
        <f>IF(D3=TRUE,entity2,"")</f>
        <v>City of Pool</v>
      </c>
      <c r="E8" s="131" t="str">
        <f>IF(E3=TRUE,entity3,"")</f>
        <v>City of Riffle</v>
      </c>
      <c r="F8" s="131" t="str">
        <f>IF(F3=TRUE,entity4,"")</f>
        <v>Wishful Watershed Council</v>
      </c>
      <c r="G8" s="131" t="str">
        <f>IF(G3=TRUE,entity5,"")</f>
        <v>Council of Government</v>
      </c>
      <c r="H8" s="131" t="str">
        <f>IF(H3=TRUE,entity6,"")</f>
        <v>Soil &amp; Water Conservation</v>
      </c>
      <c r="I8" s="131" t="str">
        <f>IF(I3=TRUE,entity7,"")</f>
        <v/>
      </c>
      <c r="J8" s="131" t="str">
        <f>IF(J3=TRUE,entity8,"")</f>
        <v/>
      </c>
      <c r="K8" s="131" t="str">
        <f>IF(K3=TRUE,entity9,"")</f>
        <v/>
      </c>
      <c r="L8" s="131" t="str">
        <f>IF(L3=TRUE,entity10,"")</f>
        <v/>
      </c>
    </row>
    <row r="9" spans="1:12" s="88" customFormat="1" ht="48.75" customHeight="1" x14ac:dyDescent="0.3">
      <c r="A9" s="87"/>
      <c r="C9" s="86" t="str">
        <f>GettingStarted!D8 &amp; "s cannot raise " &amp; PROPER($A$1)</f>
        <v>County Governments cannot raise Flood Control Zone Fees</v>
      </c>
      <c r="D9" s="86" t="str">
        <f>GettingStarted!D9 &amp; "s cannot raise " &amp; PROPER($A$1)</f>
        <v>Municipal Governments cannot raise Flood Control Zone Fees</v>
      </c>
      <c r="E9" s="86" t="str">
        <f>GettingStarted!D10 &amp; "s cannot raise " &amp; PROPER($A$1)</f>
        <v>Municipal Governments cannot raise Flood Control Zone Fees</v>
      </c>
      <c r="F9" s="86" t="str">
        <f>GettingStarted!D11 &amp; "s cannot raise " &amp; PROPER($A$1)</f>
        <v>Watershed Councils cannot raise Flood Control Zone Fees</v>
      </c>
      <c r="G9" s="86" t="str">
        <f>GettingStarted!D12 &amp; "s cannot raise " &amp; PROPER($A$1)</f>
        <v>Nonprofits cannot raise Flood Control Zone Fees</v>
      </c>
      <c r="H9" s="86" t="str">
        <f>GettingStarted!D13 &amp; "s cannot raise " &amp; PROPER($A$1)</f>
        <v>Nonprofits cannot raise Flood Control Zone Fees</v>
      </c>
      <c r="I9" s="86" t="str">
        <f>GettingStarted!D14 &amp; "s cannot raise " &amp; PROPER($A$1)</f>
        <v>s cannot raise Flood Control Zone Fees</v>
      </c>
      <c r="J9" s="86" t="str">
        <f>GettingStarted!D15 &amp; "s cannot raise " &amp; PROPER($A$1)</f>
        <v>s cannot raise Flood Control Zone Fees</v>
      </c>
      <c r="K9" s="86" t="str">
        <f>GettingStarted!D16 &amp; "s cannot raise " &amp; PROPER($A$1)</f>
        <v>s cannot raise Flood Control Zone Fees</v>
      </c>
      <c r="L9" s="86" t="str">
        <f>GettingStarted!D17 &amp; "s cannot raise " &amp; PROPER($A$1)</f>
        <v>s cannot raise Flood Control Zone Fees</v>
      </c>
    </row>
    <row r="10" spans="1:12" x14ac:dyDescent="0.25">
      <c r="A10" s="158" t="s">
        <v>150</v>
      </c>
      <c r="B10" s="158"/>
    </row>
    <row r="11" spans="1:12" x14ac:dyDescent="0.25">
      <c r="B11" s="6" t="s">
        <v>149</v>
      </c>
      <c r="C11" s="67"/>
      <c r="D11" s="67"/>
      <c r="E11" s="67"/>
      <c r="F11" s="67"/>
      <c r="G11" s="67"/>
      <c r="H11" s="67"/>
      <c r="I11" s="67"/>
      <c r="J11" s="67"/>
      <c r="K11" s="67"/>
      <c r="L11" s="67"/>
    </row>
    <row r="12" spans="1:12" x14ac:dyDescent="0.25">
      <c r="B12" s="6" t="s">
        <v>104</v>
      </c>
      <c r="C12" s="78"/>
      <c r="D12" s="78"/>
      <c r="E12" s="78"/>
      <c r="F12" s="78"/>
      <c r="G12" s="78"/>
      <c r="H12" s="78"/>
      <c r="I12" s="78"/>
      <c r="J12" s="78"/>
      <c r="K12" s="78"/>
      <c r="L12" s="78"/>
    </row>
    <row r="13" spans="1:12" x14ac:dyDescent="0.25">
      <c r="A13" s="36" t="s">
        <v>17</v>
      </c>
      <c r="B13" s="6" t="s">
        <v>105</v>
      </c>
      <c r="C13" s="67"/>
      <c r="D13" s="67"/>
      <c r="E13" s="67"/>
      <c r="F13" s="67"/>
      <c r="G13" s="67"/>
      <c r="H13" s="67"/>
      <c r="I13" s="67"/>
      <c r="J13" s="67"/>
      <c r="K13" s="67"/>
      <c r="L13" s="67"/>
    </row>
    <row r="14" spans="1:12" x14ac:dyDescent="0.25">
      <c r="C14" s="47"/>
      <c r="D14" s="47"/>
      <c r="E14" s="47"/>
      <c r="F14" s="47"/>
      <c r="G14" s="47"/>
      <c r="H14" s="47"/>
      <c r="I14" s="47"/>
      <c r="J14" s="47"/>
      <c r="K14" s="47"/>
      <c r="L14" s="47"/>
    </row>
    <row r="15" spans="1:12" x14ac:dyDescent="0.25">
      <c r="A15" s="57" t="s">
        <v>151</v>
      </c>
      <c r="C15" s="38"/>
      <c r="D15" s="38"/>
      <c r="E15" s="38"/>
      <c r="F15" s="38"/>
      <c r="G15" s="38"/>
      <c r="H15" s="38"/>
      <c r="I15" s="38"/>
      <c r="J15" s="38"/>
      <c r="K15" s="38"/>
      <c r="L15" s="38"/>
    </row>
    <row r="16" spans="1:12" x14ac:dyDescent="0.25">
      <c r="B16" s="6" t="s">
        <v>83</v>
      </c>
      <c r="C16" s="67"/>
      <c r="D16" s="67"/>
      <c r="E16" s="67"/>
      <c r="F16" s="67"/>
      <c r="G16" s="67"/>
      <c r="H16" s="67"/>
      <c r="I16" s="67"/>
      <c r="J16" s="67"/>
      <c r="K16" s="67"/>
      <c r="L16" s="67"/>
    </row>
    <row r="17" spans="1:12" x14ac:dyDescent="0.25">
      <c r="B17" s="6" t="s">
        <v>154</v>
      </c>
      <c r="C17" s="67"/>
      <c r="D17" s="67"/>
      <c r="E17" s="67"/>
      <c r="F17" s="67"/>
      <c r="G17" s="67"/>
      <c r="H17" s="67"/>
      <c r="I17" s="67"/>
      <c r="J17" s="67"/>
      <c r="K17" s="67"/>
      <c r="L17" s="67"/>
    </row>
    <row r="18" spans="1:12" x14ac:dyDescent="0.25">
      <c r="B18" s="6" t="s">
        <v>163</v>
      </c>
      <c r="C18" s="67"/>
      <c r="D18" s="67"/>
      <c r="E18" s="67"/>
      <c r="F18" s="67"/>
      <c r="G18" s="67"/>
      <c r="H18" s="67"/>
      <c r="I18" s="67"/>
      <c r="J18" s="67"/>
      <c r="K18" s="67"/>
      <c r="L18" s="67"/>
    </row>
    <row r="19" spans="1:12" x14ac:dyDescent="0.25">
      <c r="B19" s="6" t="s">
        <v>153</v>
      </c>
      <c r="C19" s="67"/>
      <c r="D19" s="67"/>
      <c r="E19" s="67"/>
      <c r="F19" s="67"/>
      <c r="G19" s="67"/>
      <c r="H19" s="67"/>
      <c r="I19" s="67"/>
      <c r="J19" s="67"/>
      <c r="K19" s="67"/>
      <c r="L19" s="67"/>
    </row>
    <row r="20" spans="1:12" x14ac:dyDescent="0.25">
      <c r="B20" s="6" t="s">
        <v>88</v>
      </c>
      <c r="C20" s="67"/>
      <c r="D20" s="67"/>
      <c r="E20" s="67"/>
      <c r="F20" s="67"/>
      <c r="G20" s="67"/>
      <c r="H20" s="67"/>
      <c r="I20" s="67"/>
      <c r="J20" s="67"/>
      <c r="K20" s="67"/>
      <c r="L20" s="67"/>
    </row>
    <row r="21" spans="1:12" x14ac:dyDescent="0.25">
      <c r="B21" s="6" t="s">
        <v>89</v>
      </c>
      <c r="C21" s="67"/>
      <c r="D21" s="67"/>
      <c r="E21" s="67"/>
      <c r="F21" s="67"/>
      <c r="G21" s="67"/>
      <c r="H21" s="67"/>
      <c r="I21" s="67"/>
      <c r="J21" s="67"/>
      <c r="K21" s="67"/>
      <c r="L21" s="67"/>
    </row>
    <row r="22" spans="1:12" x14ac:dyDescent="0.25">
      <c r="C22" s="47"/>
      <c r="D22" s="47"/>
      <c r="E22" s="47"/>
      <c r="F22" s="47"/>
      <c r="G22" s="47"/>
      <c r="H22" s="47"/>
      <c r="I22" s="47"/>
      <c r="J22" s="47"/>
      <c r="K22" s="47"/>
      <c r="L22" s="47"/>
    </row>
    <row r="23" spans="1:12" x14ac:dyDescent="0.25">
      <c r="B23" s="6" t="s">
        <v>90</v>
      </c>
      <c r="C23" s="67"/>
      <c r="D23" s="67"/>
      <c r="E23" s="67"/>
      <c r="F23" s="67"/>
      <c r="G23" s="67"/>
      <c r="H23" s="67"/>
      <c r="I23" s="67"/>
      <c r="J23" s="67"/>
      <c r="K23" s="67"/>
      <c r="L23" s="67"/>
    </row>
    <row r="24" spans="1:12" x14ac:dyDescent="0.25">
      <c r="B24" s="6" t="s">
        <v>155</v>
      </c>
      <c r="C24" s="67"/>
      <c r="D24" s="67"/>
      <c r="E24" s="67"/>
      <c r="F24" s="67"/>
      <c r="G24" s="67"/>
      <c r="H24" s="67"/>
      <c r="I24" s="67"/>
      <c r="J24" s="67"/>
      <c r="K24" s="67"/>
      <c r="L24" s="67"/>
    </row>
    <row r="25" spans="1:12" x14ac:dyDescent="0.25">
      <c r="B25" s="6" t="s">
        <v>163</v>
      </c>
      <c r="C25" s="67"/>
      <c r="D25" s="67"/>
      <c r="E25" s="67"/>
      <c r="F25" s="67"/>
      <c r="G25" s="67"/>
      <c r="H25" s="67"/>
      <c r="I25" s="67"/>
      <c r="J25" s="67"/>
      <c r="K25" s="67"/>
      <c r="L25" s="67"/>
    </row>
    <row r="26" spans="1:12" x14ac:dyDescent="0.25">
      <c r="B26" s="6" t="s">
        <v>153</v>
      </c>
      <c r="C26" s="67"/>
      <c r="D26" s="67"/>
      <c r="E26" s="67"/>
      <c r="F26" s="67"/>
      <c r="G26" s="67"/>
      <c r="H26" s="67"/>
      <c r="I26" s="67"/>
      <c r="J26" s="67"/>
      <c r="K26" s="67"/>
      <c r="L26" s="67"/>
    </row>
    <row r="27" spans="1:12" x14ac:dyDescent="0.25">
      <c r="B27" s="6" t="s">
        <v>88</v>
      </c>
      <c r="C27" s="67"/>
      <c r="D27" s="67"/>
      <c r="E27" s="67"/>
      <c r="F27" s="67"/>
      <c r="G27" s="67"/>
      <c r="H27" s="67"/>
      <c r="I27" s="67"/>
      <c r="J27" s="67"/>
      <c r="K27" s="67"/>
      <c r="L27" s="67"/>
    </row>
    <row r="28" spans="1:12" x14ac:dyDescent="0.25">
      <c r="B28" s="6" t="s">
        <v>89</v>
      </c>
      <c r="C28" s="67"/>
      <c r="D28" s="67"/>
      <c r="E28" s="67"/>
      <c r="F28" s="67"/>
      <c r="G28" s="67"/>
      <c r="H28" s="67"/>
      <c r="I28" s="67"/>
      <c r="J28" s="67"/>
      <c r="K28" s="67"/>
      <c r="L28" s="67"/>
    </row>
    <row r="30" spans="1:12" hidden="1" x14ac:dyDescent="0.25">
      <c r="A30" s="160" t="s">
        <v>164</v>
      </c>
      <c r="B30" s="26" t="s">
        <v>159</v>
      </c>
      <c r="C30" s="26" t="b">
        <f>IF(C16=Admin!$A$42,FALSE,TRUE)</f>
        <v>1</v>
      </c>
      <c r="D30" s="26" t="b">
        <f>IF(D16=Admin!$A$42,FALSE,TRUE)</f>
        <v>1</v>
      </c>
      <c r="E30" s="26" t="b">
        <f>IF(E16=Admin!$A$42,FALSE,TRUE)</f>
        <v>1</v>
      </c>
      <c r="F30" s="26" t="b">
        <f>IF(F16=Admin!$A$42,FALSE,TRUE)</f>
        <v>1</v>
      </c>
      <c r="G30" s="26" t="b">
        <f>IF(G16=Admin!$A$42,FALSE,TRUE)</f>
        <v>1</v>
      </c>
      <c r="H30" s="26" t="b">
        <f>IF(H16=Admin!$A$42,FALSE,TRUE)</f>
        <v>1</v>
      </c>
      <c r="I30" s="26" t="b">
        <f>IF(I16=Admin!$A$42,FALSE,TRUE)</f>
        <v>1</v>
      </c>
      <c r="J30" s="26" t="b">
        <f>IF(J16=Admin!$A$42,FALSE,TRUE)</f>
        <v>1</v>
      </c>
      <c r="K30" s="26" t="b">
        <f>IF(K16=Admin!$A$42,FALSE,TRUE)</f>
        <v>1</v>
      </c>
      <c r="L30" s="26" t="b">
        <f>IF(L16=Admin!$A$42,FALSE,TRUE)</f>
        <v>1</v>
      </c>
    </row>
    <row r="31" spans="1:12" hidden="1" x14ac:dyDescent="0.25">
      <c r="A31" s="160"/>
      <c r="B31" s="26" t="s">
        <v>160</v>
      </c>
      <c r="C31" s="26" t="b">
        <f>IF(C16=Admin!$A$43,FALSE, TRUE)</f>
        <v>1</v>
      </c>
      <c r="D31" s="26" t="b">
        <f>IF(D16=Admin!$A$43,FALSE, TRUE)</f>
        <v>1</v>
      </c>
      <c r="E31" s="26" t="b">
        <f>IF(E16=Admin!$A$43,FALSE, TRUE)</f>
        <v>1</v>
      </c>
      <c r="F31" s="26" t="b">
        <f>IF(F16=Admin!$A$43,FALSE, TRUE)</f>
        <v>1</v>
      </c>
      <c r="G31" s="26" t="b">
        <f>IF(G16=Admin!$A$43,FALSE, TRUE)</f>
        <v>1</v>
      </c>
      <c r="H31" s="26" t="b">
        <f>IF(H16=Admin!$A$43,FALSE, TRUE)</f>
        <v>1</v>
      </c>
      <c r="I31" s="26" t="b">
        <f>IF(I16=Admin!$A$43,FALSE, TRUE)</f>
        <v>1</v>
      </c>
      <c r="J31" s="26" t="b">
        <f>IF(J16=Admin!$A$43,FALSE, TRUE)</f>
        <v>1</v>
      </c>
      <c r="K31" s="26" t="b">
        <f>IF(K16=Admin!$A$43,FALSE, TRUE)</f>
        <v>1</v>
      </c>
      <c r="L31" s="26" t="b">
        <f>IF(L16=Admin!$A$43,FALSE, TRUE)</f>
        <v>1</v>
      </c>
    </row>
    <row r="32" spans="1:12" hidden="1" x14ac:dyDescent="0.25">
      <c r="A32" s="160"/>
      <c r="B32" s="26" t="s">
        <v>161</v>
      </c>
      <c r="C32" s="26" t="b">
        <f>IF(C23=Admin!$A$42,FALSE, TRUE)</f>
        <v>1</v>
      </c>
      <c r="D32" s="26" t="b">
        <f>IF(D23=Admin!$A$42,FALSE, TRUE)</f>
        <v>1</v>
      </c>
      <c r="E32" s="26" t="b">
        <f>IF(E23=Admin!$A$42,FALSE, TRUE)</f>
        <v>1</v>
      </c>
      <c r="F32" s="26" t="b">
        <f>IF(F23=Admin!$A$42,FALSE, TRUE)</f>
        <v>1</v>
      </c>
      <c r="G32" s="26" t="b">
        <f>IF(G23=Admin!$A$42,FALSE, TRUE)</f>
        <v>1</v>
      </c>
      <c r="H32" s="26" t="b">
        <f>IF(H23=Admin!$A$42,FALSE, TRUE)</f>
        <v>1</v>
      </c>
      <c r="I32" s="26" t="b">
        <f>IF(I23=Admin!$A$42,FALSE, TRUE)</f>
        <v>1</v>
      </c>
      <c r="J32" s="26" t="b">
        <f>IF(J23=Admin!$A$42,FALSE, TRUE)</f>
        <v>1</v>
      </c>
      <c r="K32" s="26" t="b">
        <f>IF(K23=Admin!$A$42,FALSE, TRUE)</f>
        <v>1</v>
      </c>
      <c r="L32" s="26" t="b">
        <f>IF(L23=Admin!$A$42,FALSE, TRUE)</f>
        <v>1</v>
      </c>
    </row>
    <row r="33" spans="1:12" hidden="1" x14ac:dyDescent="0.25">
      <c r="A33" s="160"/>
      <c r="B33" s="26" t="s">
        <v>162</v>
      </c>
      <c r="C33" s="26" t="b">
        <f>IF(C23=Admin!$A$43,FALSE, TRUE)</f>
        <v>1</v>
      </c>
      <c r="D33" s="26" t="b">
        <f>IF(D23=Admin!$A$43,FALSE, TRUE)</f>
        <v>1</v>
      </c>
      <c r="E33" s="26" t="b">
        <f>IF(E23=Admin!$A$43,FALSE, TRUE)</f>
        <v>1</v>
      </c>
      <c r="F33" s="26" t="b">
        <f>IF(F23=Admin!$A$43,FALSE, TRUE)</f>
        <v>1</v>
      </c>
      <c r="G33" s="26" t="b">
        <f>IF(G23=Admin!$A$43,FALSE, TRUE)</f>
        <v>1</v>
      </c>
      <c r="H33" s="26" t="b">
        <f>IF(H23=Admin!$A$43,FALSE, TRUE)</f>
        <v>1</v>
      </c>
      <c r="I33" s="26" t="b">
        <f>IF(I23=Admin!$A$43,FALSE, TRUE)</f>
        <v>1</v>
      </c>
      <c r="J33" s="26" t="b">
        <f>IF(J23=Admin!$A$43,FALSE, TRUE)</f>
        <v>1</v>
      </c>
      <c r="K33" s="26" t="b">
        <f>IF(K23=Admin!$A$43,FALSE, TRUE)</f>
        <v>1</v>
      </c>
      <c r="L33" s="26" t="b">
        <f>IF(L23=Admin!$A$43,FALSE, TRUE)</f>
        <v>1</v>
      </c>
    </row>
  </sheetData>
  <sheetProtection password="9D10" sheet="1" objects="1" scenarios="1" selectLockedCells="1"/>
  <mergeCells count="2">
    <mergeCell ref="A10:B10"/>
    <mergeCell ref="A30:A33"/>
  </mergeCells>
  <conditionalFormatting sqref="C9">
    <cfRule type="expression" dxfId="322" priority="297">
      <formula>C$6</formula>
    </cfRule>
  </conditionalFormatting>
  <conditionalFormatting sqref="D9">
    <cfRule type="expression" dxfId="321" priority="271">
      <formula>D$6</formula>
    </cfRule>
  </conditionalFormatting>
  <conditionalFormatting sqref="E9">
    <cfRule type="expression" dxfId="320" priority="270">
      <formula>E$6</formula>
    </cfRule>
  </conditionalFormatting>
  <conditionalFormatting sqref="F9">
    <cfRule type="expression" dxfId="319" priority="269">
      <formula>F$6</formula>
    </cfRule>
  </conditionalFormatting>
  <conditionalFormatting sqref="G9">
    <cfRule type="expression" dxfId="318" priority="268">
      <formula>G$6</formula>
    </cfRule>
  </conditionalFormatting>
  <conditionalFormatting sqref="H9">
    <cfRule type="expression" dxfId="317" priority="267">
      <formula>H$6</formula>
    </cfRule>
  </conditionalFormatting>
  <conditionalFormatting sqref="I9">
    <cfRule type="expression" dxfId="316" priority="266">
      <formula>I$6</formula>
    </cfRule>
  </conditionalFormatting>
  <conditionalFormatting sqref="J9">
    <cfRule type="expression" dxfId="315" priority="265">
      <formula>J$6</formula>
    </cfRule>
  </conditionalFormatting>
  <conditionalFormatting sqref="K9">
    <cfRule type="expression" dxfId="314" priority="264">
      <formula>K$6</formula>
    </cfRule>
  </conditionalFormatting>
  <conditionalFormatting sqref="L9">
    <cfRule type="expression" dxfId="313" priority="263">
      <formula>L$6</formula>
    </cfRule>
  </conditionalFormatting>
  <conditionalFormatting sqref="C11:C13">
    <cfRule type="expression" dxfId="312" priority="260">
      <formula>C$5</formula>
    </cfRule>
  </conditionalFormatting>
  <conditionalFormatting sqref="B20">
    <cfRule type="expression" dxfId="311" priority="259">
      <formula>#REF!</formula>
    </cfRule>
  </conditionalFormatting>
  <conditionalFormatting sqref="B21">
    <cfRule type="expression" dxfId="310" priority="258">
      <formula>$A$19</formula>
    </cfRule>
  </conditionalFormatting>
  <conditionalFormatting sqref="B27">
    <cfRule type="expression" dxfId="309" priority="257">
      <formula>#REF!</formula>
    </cfRule>
  </conditionalFormatting>
  <conditionalFormatting sqref="B28">
    <cfRule type="expression" dxfId="308" priority="256">
      <formula>$A$19</formula>
    </cfRule>
  </conditionalFormatting>
  <conditionalFormatting sqref="C16">
    <cfRule type="expression" dxfId="307" priority="255">
      <formula>C$5</formula>
    </cfRule>
  </conditionalFormatting>
  <conditionalFormatting sqref="C17">
    <cfRule type="expression" dxfId="306" priority="254">
      <formula>C$5</formula>
    </cfRule>
  </conditionalFormatting>
  <conditionalFormatting sqref="C18">
    <cfRule type="expression" dxfId="305" priority="253">
      <formula>C$5</formula>
    </cfRule>
  </conditionalFormatting>
  <conditionalFormatting sqref="C19">
    <cfRule type="expression" dxfId="304" priority="247">
      <formula>C$30</formula>
    </cfRule>
    <cfRule type="expression" dxfId="303" priority="252">
      <formula>C$5</formula>
    </cfRule>
  </conditionalFormatting>
  <conditionalFormatting sqref="C20">
    <cfRule type="expression" dxfId="302" priority="251">
      <formula>C$5</formula>
    </cfRule>
  </conditionalFormatting>
  <conditionalFormatting sqref="C21">
    <cfRule type="expression" dxfId="301" priority="250">
      <formula>C$5</formula>
    </cfRule>
  </conditionalFormatting>
  <conditionalFormatting sqref="C24:C28">
    <cfRule type="expression" dxfId="300" priority="249">
      <formula>$C$5</formula>
    </cfRule>
  </conditionalFormatting>
  <conditionalFormatting sqref="C23">
    <cfRule type="expression" dxfId="299" priority="248">
      <formula>$C$5</formula>
    </cfRule>
  </conditionalFormatting>
  <conditionalFormatting sqref="C20:C21">
    <cfRule type="expression" dxfId="298" priority="246">
      <formula>C$31</formula>
    </cfRule>
  </conditionalFormatting>
  <conditionalFormatting sqref="C26">
    <cfRule type="expression" dxfId="297" priority="245">
      <formula>C$32</formula>
    </cfRule>
  </conditionalFormatting>
  <conditionalFormatting sqref="C27:C28">
    <cfRule type="expression" dxfId="296" priority="244">
      <formula>C$33</formula>
    </cfRule>
  </conditionalFormatting>
  <conditionalFormatting sqref="D11:D13">
    <cfRule type="expression" dxfId="295" priority="126">
      <formula>D$5</formula>
    </cfRule>
  </conditionalFormatting>
  <conditionalFormatting sqref="D16">
    <cfRule type="expression" dxfId="294" priority="125">
      <formula>D$5</formula>
    </cfRule>
  </conditionalFormatting>
  <conditionalFormatting sqref="D17">
    <cfRule type="expression" dxfId="293" priority="124">
      <formula>D$5</formula>
    </cfRule>
  </conditionalFormatting>
  <conditionalFormatting sqref="D18">
    <cfRule type="expression" dxfId="292" priority="123">
      <formula>D$5</formula>
    </cfRule>
  </conditionalFormatting>
  <conditionalFormatting sqref="D19">
    <cfRule type="expression" dxfId="291" priority="117">
      <formula>D$30</formula>
    </cfRule>
    <cfRule type="expression" dxfId="290" priority="122">
      <formula>D$5</formula>
    </cfRule>
  </conditionalFormatting>
  <conditionalFormatting sqref="D20">
    <cfRule type="expression" dxfId="289" priority="121">
      <formula>D$5</formula>
    </cfRule>
  </conditionalFormatting>
  <conditionalFormatting sqref="D21">
    <cfRule type="expression" dxfId="288" priority="120">
      <formula>D$5</formula>
    </cfRule>
  </conditionalFormatting>
  <conditionalFormatting sqref="D24:D28">
    <cfRule type="expression" dxfId="287" priority="119">
      <formula>$C$5</formula>
    </cfRule>
  </conditionalFormatting>
  <conditionalFormatting sqref="D23">
    <cfRule type="expression" dxfId="286" priority="118">
      <formula>$C$5</formula>
    </cfRule>
  </conditionalFormatting>
  <conditionalFormatting sqref="D20:D21">
    <cfRule type="expression" dxfId="285" priority="116">
      <formula>D$31</formula>
    </cfRule>
  </conditionalFormatting>
  <conditionalFormatting sqref="D26">
    <cfRule type="expression" dxfId="284" priority="115">
      <formula>D$32</formula>
    </cfRule>
  </conditionalFormatting>
  <conditionalFormatting sqref="D27:D28">
    <cfRule type="expression" dxfId="283" priority="114">
      <formula>D$33</formula>
    </cfRule>
  </conditionalFormatting>
  <conditionalFormatting sqref="E11:E13">
    <cfRule type="expression" dxfId="282" priority="113">
      <formula>E$5</formula>
    </cfRule>
  </conditionalFormatting>
  <conditionalFormatting sqref="E16">
    <cfRule type="expression" dxfId="281" priority="112">
      <formula>E$5</formula>
    </cfRule>
  </conditionalFormatting>
  <conditionalFormatting sqref="E17">
    <cfRule type="expression" dxfId="280" priority="111">
      <formula>E$5</formula>
    </cfRule>
  </conditionalFormatting>
  <conditionalFormatting sqref="E18">
    <cfRule type="expression" dxfId="279" priority="110">
      <formula>E$5</formula>
    </cfRule>
  </conditionalFormatting>
  <conditionalFormatting sqref="E19">
    <cfRule type="expression" dxfId="278" priority="104">
      <formula>E$30</formula>
    </cfRule>
    <cfRule type="expression" dxfId="277" priority="109">
      <formula>E$5</formula>
    </cfRule>
  </conditionalFormatting>
  <conditionalFormatting sqref="E20">
    <cfRule type="expression" dxfId="276" priority="108">
      <formula>E$5</formula>
    </cfRule>
  </conditionalFormatting>
  <conditionalFormatting sqref="E21">
    <cfRule type="expression" dxfId="275" priority="107">
      <formula>E$5</formula>
    </cfRule>
  </conditionalFormatting>
  <conditionalFormatting sqref="E24:E28">
    <cfRule type="expression" dxfId="274" priority="106">
      <formula>$C$5</formula>
    </cfRule>
  </conditionalFormatting>
  <conditionalFormatting sqref="E23">
    <cfRule type="expression" dxfId="273" priority="105">
      <formula>$C$5</formula>
    </cfRule>
  </conditionalFormatting>
  <conditionalFormatting sqref="E20:E21">
    <cfRule type="expression" dxfId="272" priority="103">
      <formula>E$31</formula>
    </cfRule>
  </conditionalFormatting>
  <conditionalFormatting sqref="E26">
    <cfRule type="expression" dxfId="271" priority="102">
      <formula>E$32</formula>
    </cfRule>
  </conditionalFormatting>
  <conditionalFormatting sqref="E27:E28">
    <cfRule type="expression" dxfId="270" priority="101">
      <formula>E$33</formula>
    </cfRule>
  </conditionalFormatting>
  <conditionalFormatting sqref="F11:F13">
    <cfRule type="expression" dxfId="269" priority="100">
      <formula>F$5</formula>
    </cfRule>
  </conditionalFormatting>
  <conditionalFormatting sqref="F16">
    <cfRule type="expression" dxfId="268" priority="99">
      <formula>F$5</formula>
    </cfRule>
  </conditionalFormatting>
  <conditionalFormatting sqref="F17">
    <cfRule type="expression" dxfId="267" priority="98">
      <formula>F$5</formula>
    </cfRule>
  </conditionalFormatting>
  <conditionalFormatting sqref="F18">
    <cfRule type="expression" dxfId="266" priority="97">
      <formula>F$5</formula>
    </cfRule>
  </conditionalFormatting>
  <conditionalFormatting sqref="F19">
    <cfRule type="expression" dxfId="265" priority="91">
      <formula>F$30</formula>
    </cfRule>
    <cfRule type="expression" dxfId="264" priority="96">
      <formula>F$5</formula>
    </cfRule>
  </conditionalFormatting>
  <conditionalFormatting sqref="F20">
    <cfRule type="expression" dxfId="263" priority="95">
      <formula>F$5</formula>
    </cfRule>
  </conditionalFormatting>
  <conditionalFormatting sqref="F21">
    <cfRule type="expression" dxfId="262" priority="94">
      <formula>F$5</formula>
    </cfRule>
  </conditionalFormatting>
  <conditionalFormatting sqref="F24:F28">
    <cfRule type="expression" dxfId="261" priority="93">
      <formula>$C$5</formula>
    </cfRule>
  </conditionalFormatting>
  <conditionalFormatting sqref="F23">
    <cfRule type="expression" dxfId="260" priority="92">
      <formula>$C$5</formula>
    </cfRule>
  </conditionalFormatting>
  <conditionalFormatting sqref="F20:F21">
    <cfRule type="expression" dxfId="259" priority="90">
      <formula>F$31</formula>
    </cfRule>
  </conditionalFormatting>
  <conditionalFormatting sqref="F26">
    <cfRule type="expression" dxfId="258" priority="89">
      <formula>F$32</formula>
    </cfRule>
  </conditionalFormatting>
  <conditionalFormatting sqref="F27:F28">
    <cfRule type="expression" dxfId="257" priority="88">
      <formula>F$33</formula>
    </cfRule>
  </conditionalFormatting>
  <conditionalFormatting sqref="G11:G13">
    <cfRule type="expression" dxfId="256" priority="87">
      <formula>G$5</formula>
    </cfRule>
  </conditionalFormatting>
  <conditionalFormatting sqref="G16">
    <cfRule type="expression" dxfId="255" priority="86">
      <formula>G$5</formula>
    </cfRule>
  </conditionalFormatting>
  <conditionalFormatting sqref="G17">
    <cfRule type="expression" dxfId="254" priority="85">
      <formula>G$5</formula>
    </cfRule>
  </conditionalFormatting>
  <conditionalFormatting sqref="G18">
    <cfRule type="expression" dxfId="253" priority="84">
      <formula>G$5</formula>
    </cfRule>
  </conditionalFormatting>
  <conditionalFormatting sqref="G19">
    <cfRule type="expression" dxfId="252" priority="78">
      <formula>G$30</formula>
    </cfRule>
    <cfRule type="expression" dxfId="251" priority="83">
      <formula>G$5</formula>
    </cfRule>
  </conditionalFormatting>
  <conditionalFormatting sqref="G20">
    <cfRule type="expression" dxfId="250" priority="82">
      <formula>G$5</formula>
    </cfRule>
  </conditionalFormatting>
  <conditionalFormatting sqref="G21">
    <cfRule type="expression" dxfId="249" priority="81">
      <formula>G$5</formula>
    </cfRule>
  </conditionalFormatting>
  <conditionalFormatting sqref="G24:G28">
    <cfRule type="expression" dxfId="248" priority="80">
      <formula>$C$5</formula>
    </cfRule>
  </conditionalFormatting>
  <conditionalFormatting sqref="G23">
    <cfRule type="expression" dxfId="247" priority="79">
      <formula>$C$5</formula>
    </cfRule>
  </conditionalFormatting>
  <conditionalFormatting sqref="G20:G21">
    <cfRule type="expression" dxfId="246" priority="77">
      <formula>G$31</formula>
    </cfRule>
  </conditionalFormatting>
  <conditionalFormatting sqref="G26">
    <cfRule type="expression" dxfId="245" priority="76">
      <formula>G$32</formula>
    </cfRule>
  </conditionalFormatting>
  <conditionalFormatting sqref="G27:G28">
    <cfRule type="expression" dxfId="244" priority="75">
      <formula>G$33</formula>
    </cfRule>
  </conditionalFormatting>
  <conditionalFormatting sqref="H11:H13">
    <cfRule type="expression" dxfId="243" priority="74">
      <formula>H$5</formula>
    </cfRule>
  </conditionalFormatting>
  <conditionalFormatting sqref="H16">
    <cfRule type="expression" dxfId="242" priority="73">
      <formula>H$5</formula>
    </cfRule>
  </conditionalFormatting>
  <conditionalFormatting sqref="H17">
    <cfRule type="expression" dxfId="241" priority="72">
      <formula>H$5</formula>
    </cfRule>
  </conditionalFormatting>
  <conditionalFormatting sqref="H18">
    <cfRule type="expression" dxfId="240" priority="71">
      <formula>H$5</formula>
    </cfRule>
  </conditionalFormatting>
  <conditionalFormatting sqref="H19">
    <cfRule type="expression" dxfId="239" priority="65">
      <formula>H$30</formula>
    </cfRule>
    <cfRule type="expression" dxfId="238" priority="70">
      <formula>H$5</formula>
    </cfRule>
  </conditionalFormatting>
  <conditionalFormatting sqref="H20">
    <cfRule type="expression" dxfId="237" priority="69">
      <formula>H$5</formula>
    </cfRule>
  </conditionalFormatting>
  <conditionalFormatting sqref="H21">
    <cfRule type="expression" dxfId="236" priority="68">
      <formula>H$5</formula>
    </cfRule>
  </conditionalFormatting>
  <conditionalFormatting sqref="H24:H28">
    <cfRule type="expression" dxfId="235" priority="67">
      <formula>$C$5</formula>
    </cfRule>
  </conditionalFormatting>
  <conditionalFormatting sqref="H23">
    <cfRule type="expression" dxfId="234" priority="66">
      <formula>$C$5</formula>
    </cfRule>
  </conditionalFormatting>
  <conditionalFormatting sqref="H20:H21">
    <cfRule type="expression" dxfId="233" priority="64">
      <formula>H$31</formula>
    </cfRule>
  </conditionalFormatting>
  <conditionalFormatting sqref="H26">
    <cfRule type="expression" dxfId="232" priority="63">
      <formula>H$32</formula>
    </cfRule>
  </conditionalFormatting>
  <conditionalFormatting sqref="H27:H28">
    <cfRule type="expression" dxfId="231" priority="62">
      <formula>H$33</formula>
    </cfRule>
  </conditionalFormatting>
  <conditionalFormatting sqref="I11:I13">
    <cfRule type="expression" dxfId="230" priority="61">
      <formula>I$5</formula>
    </cfRule>
  </conditionalFormatting>
  <conditionalFormatting sqref="I16">
    <cfRule type="expression" dxfId="229" priority="60">
      <formula>I$5</formula>
    </cfRule>
  </conditionalFormatting>
  <conditionalFormatting sqref="I17">
    <cfRule type="expression" dxfId="228" priority="59">
      <formula>I$5</formula>
    </cfRule>
  </conditionalFormatting>
  <conditionalFormatting sqref="I18">
    <cfRule type="expression" dxfId="227" priority="58">
      <formula>I$5</formula>
    </cfRule>
  </conditionalFormatting>
  <conditionalFormatting sqref="I19">
    <cfRule type="expression" dxfId="226" priority="52">
      <formula>I$30</formula>
    </cfRule>
    <cfRule type="expression" dxfId="225" priority="57">
      <formula>I$5</formula>
    </cfRule>
  </conditionalFormatting>
  <conditionalFormatting sqref="I20">
    <cfRule type="expression" dxfId="224" priority="56">
      <formula>I$5</formula>
    </cfRule>
  </conditionalFormatting>
  <conditionalFormatting sqref="I21">
    <cfRule type="expression" dxfId="223" priority="55">
      <formula>I$5</formula>
    </cfRule>
  </conditionalFormatting>
  <conditionalFormatting sqref="I24:I28">
    <cfRule type="expression" dxfId="222" priority="54">
      <formula>$C$5</formula>
    </cfRule>
  </conditionalFormatting>
  <conditionalFormatting sqref="I23">
    <cfRule type="expression" dxfId="221" priority="53">
      <formula>$C$5</formula>
    </cfRule>
  </conditionalFormatting>
  <conditionalFormatting sqref="I20:I21">
    <cfRule type="expression" dxfId="220" priority="51">
      <formula>I$31</formula>
    </cfRule>
  </conditionalFormatting>
  <conditionalFormatting sqref="I26">
    <cfRule type="expression" dxfId="219" priority="50">
      <formula>I$32</formula>
    </cfRule>
  </conditionalFormatting>
  <conditionalFormatting sqref="I27:I28">
    <cfRule type="expression" dxfId="218" priority="49">
      <formula>I$33</formula>
    </cfRule>
  </conditionalFormatting>
  <conditionalFormatting sqref="J11:J13">
    <cfRule type="expression" dxfId="217" priority="48">
      <formula>J$5</formula>
    </cfRule>
  </conditionalFormatting>
  <conditionalFormatting sqref="J16">
    <cfRule type="expression" dxfId="216" priority="47">
      <formula>J$5</formula>
    </cfRule>
  </conditionalFormatting>
  <conditionalFormatting sqref="J17">
    <cfRule type="expression" dxfId="215" priority="46">
      <formula>J$5</formula>
    </cfRule>
  </conditionalFormatting>
  <conditionalFormatting sqref="J18">
    <cfRule type="expression" dxfId="214" priority="45">
      <formula>J$5</formula>
    </cfRule>
  </conditionalFormatting>
  <conditionalFormatting sqref="J19">
    <cfRule type="expression" dxfId="213" priority="39">
      <formula>J$30</formula>
    </cfRule>
    <cfRule type="expression" dxfId="212" priority="44">
      <formula>J$5</formula>
    </cfRule>
  </conditionalFormatting>
  <conditionalFormatting sqref="J20">
    <cfRule type="expression" dxfId="211" priority="43">
      <formula>J$5</formula>
    </cfRule>
  </conditionalFormatting>
  <conditionalFormatting sqref="J21">
    <cfRule type="expression" dxfId="210" priority="42">
      <formula>J$5</formula>
    </cfRule>
  </conditionalFormatting>
  <conditionalFormatting sqref="J24:J28">
    <cfRule type="expression" dxfId="209" priority="41">
      <formula>$C$5</formula>
    </cfRule>
  </conditionalFormatting>
  <conditionalFormatting sqref="J23">
    <cfRule type="expression" dxfId="208" priority="40">
      <formula>$C$5</formula>
    </cfRule>
  </conditionalFormatting>
  <conditionalFormatting sqref="J20:J21">
    <cfRule type="expression" dxfId="207" priority="38">
      <formula>J$31</formula>
    </cfRule>
  </conditionalFormatting>
  <conditionalFormatting sqref="J26">
    <cfRule type="expression" dxfId="206" priority="37">
      <formula>J$32</formula>
    </cfRule>
  </conditionalFormatting>
  <conditionalFormatting sqref="J27:J28">
    <cfRule type="expression" dxfId="205" priority="36">
      <formula>J$33</formula>
    </cfRule>
  </conditionalFormatting>
  <conditionalFormatting sqref="K11:K13">
    <cfRule type="expression" dxfId="204" priority="35">
      <formula>K$5</formula>
    </cfRule>
  </conditionalFormatting>
  <conditionalFormatting sqref="K16">
    <cfRule type="expression" dxfId="203" priority="34">
      <formula>K$5</formula>
    </cfRule>
  </conditionalFormatting>
  <conditionalFormatting sqref="K17">
    <cfRule type="expression" dxfId="202" priority="33">
      <formula>K$5</formula>
    </cfRule>
  </conditionalFormatting>
  <conditionalFormatting sqref="K18">
    <cfRule type="expression" dxfId="201" priority="32">
      <formula>K$5</formula>
    </cfRule>
  </conditionalFormatting>
  <conditionalFormatting sqref="K19">
    <cfRule type="expression" dxfId="200" priority="26">
      <formula>K$30</formula>
    </cfRule>
    <cfRule type="expression" dxfId="199" priority="31">
      <formula>K$5</formula>
    </cfRule>
  </conditionalFormatting>
  <conditionalFormatting sqref="K20">
    <cfRule type="expression" dxfId="198" priority="30">
      <formula>K$5</formula>
    </cfRule>
  </conditionalFormatting>
  <conditionalFormatting sqref="K21">
    <cfRule type="expression" dxfId="197" priority="29">
      <formula>K$5</formula>
    </cfRule>
  </conditionalFormatting>
  <conditionalFormatting sqref="K24:K28">
    <cfRule type="expression" dxfId="196" priority="28">
      <formula>$C$5</formula>
    </cfRule>
  </conditionalFormatting>
  <conditionalFormatting sqref="K23">
    <cfRule type="expression" dxfId="195" priority="27">
      <formula>$C$5</formula>
    </cfRule>
  </conditionalFormatting>
  <conditionalFormatting sqref="K20:K21">
    <cfRule type="expression" dxfId="194" priority="25">
      <formula>K$31</formula>
    </cfRule>
  </conditionalFormatting>
  <conditionalFormatting sqref="K26">
    <cfRule type="expression" dxfId="193" priority="24">
      <formula>K$32</formula>
    </cfRule>
  </conditionalFormatting>
  <conditionalFormatting sqref="K27:K28">
    <cfRule type="expression" dxfId="192" priority="23">
      <formula>K$33</formula>
    </cfRule>
  </conditionalFormatting>
  <conditionalFormatting sqref="L11:L13">
    <cfRule type="expression" dxfId="191" priority="22">
      <formula>L$5</formula>
    </cfRule>
  </conditionalFormatting>
  <conditionalFormatting sqref="L16">
    <cfRule type="expression" dxfId="190" priority="21">
      <formula>L$5</formula>
    </cfRule>
  </conditionalFormatting>
  <conditionalFormatting sqref="L17">
    <cfRule type="expression" dxfId="189" priority="20">
      <formula>L$5</formula>
    </cfRule>
  </conditionalFormatting>
  <conditionalFormatting sqref="L18">
    <cfRule type="expression" dxfId="188" priority="19">
      <formula>L$5</formula>
    </cfRule>
  </conditionalFormatting>
  <conditionalFormatting sqref="L19">
    <cfRule type="expression" dxfId="187" priority="13">
      <formula>L$30</formula>
    </cfRule>
    <cfRule type="expression" dxfId="186" priority="18">
      <formula>L$5</formula>
    </cfRule>
  </conditionalFormatting>
  <conditionalFormatting sqref="L20">
    <cfRule type="expression" dxfId="185" priority="17">
      <formula>L$5</formula>
    </cfRule>
  </conditionalFormatting>
  <conditionalFormatting sqref="L21">
    <cfRule type="expression" dxfId="184" priority="16">
      <formula>L$5</formula>
    </cfRule>
  </conditionalFormatting>
  <conditionalFormatting sqref="L24:L28">
    <cfRule type="expression" dxfId="183" priority="15">
      <formula>$C$5</formula>
    </cfRule>
  </conditionalFormatting>
  <conditionalFormatting sqref="L23">
    <cfRule type="expression" dxfId="182" priority="14">
      <formula>$C$5</formula>
    </cfRule>
  </conditionalFormatting>
  <conditionalFormatting sqref="L20:L21">
    <cfRule type="expression" dxfId="181" priority="12">
      <formula>L$31</formula>
    </cfRule>
  </conditionalFormatting>
  <conditionalFormatting sqref="L26">
    <cfRule type="expression" dxfId="180" priority="11">
      <formula>L$32</formula>
    </cfRule>
  </conditionalFormatting>
  <conditionalFormatting sqref="L27:L28">
    <cfRule type="expression" dxfId="179" priority="10">
      <formula>L$33</formula>
    </cfRule>
  </conditionalFormatting>
  <conditionalFormatting sqref="C8">
    <cfRule type="expression" dxfId="178" priority="298">
      <formula>C$3</formula>
    </cfRule>
  </conditionalFormatting>
  <conditionalFormatting sqref="D8">
    <cfRule type="expression" dxfId="177" priority="9">
      <formula>D$3</formula>
    </cfRule>
  </conditionalFormatting>
  <conditionalFormatting sqref="E8">
    <cfRule type="expression" dxfId="176" priority="8">
      <formula>E$3</formula>
    </cfRule>
  </conditionalFormatting>
  <conditionalFormatting sqref="F8">
    <cfRule type="expression" dxfId="175" priority="7">
      <formula>F$3</formula>
    </cfRule>
  </conditionalFormatting>
  <conditionalFormatting sqref="G8">
    <cfRule type="expression" dxfId="174" priority="6">
      <formula>G$3</formula>
    </cfRule>
  </conditionalFormatting>
  <conditionalFormatting sqref="H8">
    <cfRule type="expression" dxfId="173" priority="5">
      <formula>H$3</formula>
    </cfRule>
  </conditionalFormatting>
  <conditionalFormatting sqref="I8">
    <cfRule type="expression" dxfId="172" priority="4">
      <formula>I$3</formula>
    </cfRule>
  </conditionalFormatting>
  <conditionalFormatting sqref="J8">
    <cfRule type="expression" dxfId="171" priority="3">
      <formula>J$3</formula>
    </cfRule>
  </conditionalFormatting>
  <conditionalFormatting sqref="K8">
    <cfRule type="expression" dxfId="170" priority="2">
      <formula>K$3</formula>
    </cfRule>
  </conditionalFormatting>
  <conditionalFormatting sqref="L8">
    <cfRule type="expression" dxfId="169" priority="1">
      <formula>L$3</formula>
    </cfRule>
  </conditionalFormatting>
  <dataValidations count="5">
    <dataValidation type="list" allowBlank="1" showInputMessage="1" showErrorMessage="1" error="Please click CANCEL and then choose a value from the drop-down" sqref="C23:L23">
      <formula1>$A$41:$A$43</formula1>
    </dataValidation>
    <dataValidation allowBlank="1" showInputMessage="1" showErrorMessage="1" prompt="ERU means Equivalent Residential Unit.  If you charge residential flood control zone fees based on ERUs, enter the amount of square feet in each ERU here." sqref="C20:L20"/>
    <dataValidation allowBlank="1" showInputMessage="1" showErrorMessage="1" prompt="Enter the average amount of impervious surface per residential lot in your billing area.  This is based on analysis of the actual lots wtihin your community and may be different from the value entered for the ERU." sqref="C21:L21"/>
    <dataValidation allowBlank="1" showInputMessage="1" showErrorMessage="1" prompt="ERU means Equivalent Residential Unit.  If you charge non-residential flood control zone fees based on ERUs, enter the amount of square feet in each ERU here." sqref="C27:L27"/>
    <dataValidation allowBlank="1" showInputMessage="1" showErrorMessage="1" prompt="Enter the average amount of impervious surface per non-residential lot in your billing area.  This is based on analysis of the actual lots wtihin your community and is likely significantly higher than the value entered for the ERU." sqref="C28:L28"/>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click CANCEL and then choose a value from the drop-down">
          <x14:formula1>
            <xm:f>Admin!$A$41:$A$43</xm:f>
          </x14:formula1>
          <xm:sqref>C16:L16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43</vt:i4>
      </vt:variant>
    </vt:vector>
  </HeadingPairs>
  <TitlesOfParts>
    <vt:vector size="57" baseType="lpstr">
      <vt:lpstr>Instructions</vt:lpstr>
      <vt:lpstr>GettingStarted</vt:lpstr>
      <vt:lpstr>Dashboard</vt:lpstr>
      <vt:lpstr>PropertyTaxes</vt:lpstr>
      <vt:lpstr>SalesTaxes</vt:lpstr>
      <vt:lpstr>DrinkingWater</vt:lpstr>
      <vt:lpstr>Wastewater</vt:lpstr>
      <vt:lpstr>WaterQualityFees</vt:lpstr>
      <vt:lpstr>FloodZoneFees</vt:lpstr>
      <vt:lpstr>PermitFees</vt:lpstr>
      <vt:lpstr>Grants</vt:lpstr>
      <vt:lpstr>Other</vt:lpstr>
      <vt:lpstr>Admin</vt:lpstr>
      <vt:lpstr>Debt Service</vt:lpstr>
      <vt:lpstr>Dashboard_Linkedcell</vt:lpstr>
      <vt:lpstr>DrinkingWaterTotal</vt:lpstr>
      <vt:lpstr>DW__LinkCell</vt:lpstr>
      <vt:lpstr>Entity</vt:lpstr>
      <vt:lpstr>entity1</vt:lpstr>
      <vt:lpstr>entity10</vt:lpstr>
      <vt:lpstr>entity2</vt:lpstr>
      <vt:lpstr>entity3</vt:lpstr>
      <vt:lpstr>entity4</vt:lpstr>
      <vt:lpstr>entity5</vt:lpstr>
      <vt:lpstr>entity6</vt:lpstr>
      <vt:lpstr>entity7</vt:lpstr>
      <vt:lpstr>entity8</vt:lpstr>
      <vt:lpstr>entity9</vt:lpstr>
      <vt:lpstr>FedFundsAsMatch</vt:lpstr>
      <vt:lpstr>FloodFeeTotal</vt:lpstr>
      <vt:lpstr>FZF_LinkCell</vt:lpstr>
      <vt:lpstr>G_LinkCell</vt:lpstr>
      <vt:lpstr>GettingStarted_linkcell</vt:lpstr>
      <vt:lpstr>GrantMatchNeeded</vt:lpstr>
      <vt:lpstr>GrantsAvailableForMatch</vt:lpstr>
      <vt:lpstr>GrantsTotal</vt:lpstr>
      <vt:lpstr>HowMuchDoINeed</vt:lpstr>
      <vt:lpstr>O_LinkCell</vt:lpstr>
      <vt:lpstr>OtherTotal</vt:lpstr>
      <vt:lpstr>OwnedOnDebtInFirstYear</vt:lpstr>
      <vt:lpstr>PercentToGoalDenometer</vt:lpstr>
      <vt:lpstr>PermitFeesTotal</vt:lpstr>
      <vt:lpstr>PF_LinkCell</vt:lpstr>
      <vt:lpstr>PropertyTaxesTotal</vt:lpstr>
      <vt:lpstr>PT_E1_sum</vt:lpstr>
      <vt:lpstr>PT_LinkCell</vt:lpstr>
      <vt:lpstr>SalesTaxesTotal</vt:lpstr>
      <vt:lpstr>ST_E1_sum</vt:lpstr>
      <vt:lpstr>ST_LinkCell</vt:lpstr>
      <vt:lpstr>TotalEntites</vt:lpstr>
      <vt:lpstr>TotalEntities</vt:lpstr>
      <vt:lpstr>WastewaterTotal</vt:lpstr>
      <vt:lpstr>WaterQualityFeesTotal</vt:lpstr>
      <vt:lpstr>Wastewater!WaterWastewaterTotal</vt:lpstr>
      <vt:lpstr>WaterWastewaterTotal</vt:lpstr>
      <vt:lpstr>WQF_LinkCell</vt:lpstr>
      <vt:lpstr>WW_LinkCell</vt:lpstr>
    </vt:vector>
  </TitlesOfParts>
  <Company>The University of North Carolina at Chapel Hill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Glenn Barnes</dc:creator>
  <cp:lastModifiedBy>Glenn Barnes</cp:lastModifiedBy>
  <dcterms:created xsi:type="dcterms:W3CDTF">2013-01-07T16:49:04Z</dcterms:created>
  <dcterms:modified xsi:type="dcterms:W3CDTF">2014-07-25T22:57:49Z</dcterms:modified>
</cp:coreProperties>
</file>